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trlProps/ctrlProp1.xml" ContentType="application/vnd.ms-excel.controlproperties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5.xml" ContentType="application/vnd.openxmlformats-officedocument.drawing+xml"/>
  <Override PartName="/xl/ctrlProps/ctrlProp2.xml" ContentType="application/vnd.ms-excel.controlproperties+xml"/>
  <Override PartName="/xl/comments6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8535" yWindow="-30" windowWidth="6855" windowHeight="8415" tabRatio="855"/>
  </bookViews>
  <sheets>
    <sheet name="INPUTS" sheetId="1" r:id="rId1"/>
    <sheet name="INV" sheetId="2" r:id="rId2"/>
    <sheet name="INCO" sheetId="4" r:id="rId3"/>
    <sheet name="CTA.RES" sheetId="14" r:id="rId4"/>
    <sheet name="BALANCE" sheetId="11" r:id="rId5"/>
    <sheet name="TES" sheetId="10" r:id="rId6"/>
    <sheet name="RENTAB" sheetId="8" r:id="rId7"/>
    <sheet name="ESCENARIOS" sheetId="15" r:id="rId8"/>
    <sheet name="EQ" sheetId="9" r:id="rId9"/>
    <sheet name="I +D" sheetId="17" r:id="rId10"/>
    <sheet name="Rondas de financiación" sheetId="18" r:id="rId11"/>
  </sheets>
  <definedNames>
    <definedName name="_xlnm.Print_Area" localSheetId="4">BALANCE!$B$2:$K$29</definedName>
    <definedName name="_xlnm.Print_Area" localSheetId="3">CTA.RES!$B$2:$I$18</definedName>
    <definedName name="_xlnm.Print_Area" localSheetId="8">EQ!$B$2:$J$36</definedName>
    <definedName name="_xlnm.Print_Area" localSheetId="7">ESCENARIOS!$B$1:$H$38</definedName>
    <definedName name="_xlnm.Print_Area" localSheetId="2">INCO!$B$9:$J$93</definedName>
    <definedName name="_xlnm.Print_Area" localSheetId="0">INPUTS!$B$9:$H$68</definedName>
    <definedName name="_xlnm.Print_Area" localSheetId="1">INV!$B$2:$P$47</definedName>
    <definedName name="_xlnm.Print_Area" localSheetId="6">RENTAB!$B$2:$J$35</definedName>
    <definedName name="_xlnm.Print_Area" localSheetId="5">TES!$B$3:$J$30</definedName>
    <definedName name="HM">#REF!</definedName>
    <definedName name="solver_adj" localSheetId="0" hidden="1">INPUTS!$C$57</definedName>
    <definedName name="solver_lin" localSheetId="0" hidden="1">0</definedName>
    <definedName name="solver_num" localSheetId="0" hidden="1">0</definedName>
    <definedName name="solver_opt" localSheetId="0" hidden="1">INPUTS!#REF!</definedName>
    <definedName name="solver_typ" localSheetId="0" hidden="1">1</definedName>
    <definedName name="solver_val" localSheetId="0" hidden="1">0</definedName>
    <definedName name="wrn.uno." hidden="1">{#N/A,#N/A,FALSE,"REN"}</definedName>
    <definedName name="Z_D4D7EB23_CC17_11D2_866F_0020AFB54048_.wvu.PrintArea" localSheetId="8" hidden="1">EQ!$B$1:$J$38</definedName>
    <definedName name="Z_D4D7EB23_CC17_11D2_866F_0020AFB54048_.wvu.PrintArea" localSheetId="2" hidden="1">INCO!$A$6:$J$106</definedName>
    <definedName name="Z_D4D7EB23_CC17_11D2_866F_0020AFB54048_.wvu.PrintArea" localSheetId="0" hidden="1">INPUTS!$B$9:$F$68</definedName>
    <definedName name="Z_D4D7EB23_CC17_11D2_866F_0020AFB54048_.wvu.PrintArea" localSheetId="1" hidden="1">INV!$B$2:$P$51</definedName>
    <definedName name="Z_D4D7EB23_CC17_11D2_866F_0020AFB54048_.wvu.PrintArea" localSheetId="6" hidden="1">RENTAB!$B$1:$J$35</definedName>
    <definedName name="Z_D4D7EB24_CC17_11D2_866F_0020AFB54048_.wvu.PrintArea" localSheetId="8" hidden="1">EQ!$B$1:$J$38</definedName>
    <definedName name="Z_D4D7EB24_CC17_11D2_866F_0020AFB54048_.wvu.PrintArea" localSheetId="2" hidden="1">INCO!$A$6:$J$106</definedName>
    <definedName name="Z_D4D7EB24_CC17_11D2_866F_0020AFB54048_.wvu.PrintArea" localSheetId="0" hidden="1">INPUTS!$B$9:$F$68</definedName>
    <definedName name="Z_D4D7EB24_CC17_11D2_866F_0020AFB54048_.wvu.PrintArea" localSheetId="1" hidden="1">INV!$B$2:$P$51</definedName>
    <definedName name="Z_D4D7EB24_CC17_11D2_866F_0020AFB54048_.wvu.PrintArea" localSheetId="6" hidden="1">RENTAB!$B$1:$J$35</definedName>
  </definedNames>
  <calcPr calcId="145621"/>
  <customWorkbookViews>
    <customWorkbookView name="dos" guid="{D4D7EB24-CC17-11D2-866F-0020AFB54048}" maximized="1" windowWidth="796" windowHeight="438" tabRatio="863" activeSheetId="1"/>
    <customWorkbookView name="uno" guid="{D4D7EB23-CC17-11D2-866F-0020AFB54048}" maximized="1" windowWidth="796" windowHeight="438" tabRatio="863" activeSheetId="1"/>
  </customWorkbookViews>
</workbook>
</file>

<file path=xl/calcChain.xml><?xml version="1.0" encoding="utf-8"?>
<calcChain xmlns="http://schemas.openxmlformats.org/spreadsheetml/2006/main">
  <c r="C2" i="8" l="1"/>
  <c r="C4" i="15"/>
  <c r="C6" i="15" s="1"/>
  <c r="C9" i="15" l="1"/>
  <c r="C8" i="15"/>
  <c r="C11" i="15"/>
  <c r="C7" i="15"/>
  <c r="C10" i="15"/>
  <c r="C2" i="17"/>
  <c r="E12" i="17" s="1"/>
  <c r="E42" i="18"/>
  <c r="H33" i="18"/>
  <c r="G33" i="18"/>
  <c r="F33" i="18"/>
  <c r="E33" i="18"/>
  <c r="D33" i="18"/>
  <c r="C33" i="18"/>
  <c r="B31" i="18"/>
  <c r="B46" i="18" s="1"/>
  <c r="B30" i="18"/>
  <c r="B45" i="18" s="1"/>
  <c r="B29" i="18"/>
  <c r="B44" i="18" s="1"/>
  <c r="B28" i="18"/>
  <c r="B43" i="18" s="1"/>
  <c r="B27" i="18"/>
  <c r="B42" i="18" s="1"/>
  <c r="G14" i="18"/>
  <c r="G38" i="18" s="1"/>
  <c r="F38" i="18" s="1"/>
  <c r="E38" i="18" s="1"/>
  <c r="D38" i="18" s="1"/>
  <c r="C38" i="18" s="1"/>
  <c r="F14" i="18"/>
  <c r="E14" i="18"/>
  <c r="D14" i="18"/>
  <c r="C14" i="18"/>
  <c r="C12" i="18"/>
  <c r="C35" i="18" s="1"/>
  <c r="G5" i="18"/>
  <c r="H39" i="17"/>
  <c r="J37" i="17"/>
  <c r="J33" i="17" s="1"/>
  <c r="F37" i="17"/>
  <c r="H36" i="17"/>
  <c r="H35" i="17"/>
  <c r="D35" i="17"/>
  <c r="F34" i="17"/>
  <c r="F33" i="17"/>
  <c r="B33" i="17"/>
  <c r="D32" i="17"/>
  <c r="H31" i="17"/>
  <c r="D31" i="17"/>
  <c r="B30" i="17"/>
  <c r="F29" i="17"/>
  <c r="D27" i="17"/>
  <c r="D15" i="17"/>
  <c r="C13" i="17"/>
  <c r="G9" i="17"/>
  <c r="F35" i="17" l="1"/>
  <c r="F12" i="18"/>
  <c r="F12" i="17"/>
  <c r="C17" i="17"/>
  <c r="C12" i="17"/>
  <c r="C20" i="18"/>
  <c r="D12" i="17"/>
  <c r="D13" i="17"/>
  <c r="E13" i="17" s="1"/>
  <c r="F13" i="17" s="1"/>
  <c r="E15" i="17"/>
  <c r="C16" i="17"/>
  <c r="C19" i="17" s="1"/>
  <c r="C21" i="17" s="1"/>
  <c r="D9" i="8"/>
  <c r="E9" i="8" s="1"/>
  <c r="F9" i="8" s="1"/>
  <c r="G9" i="8" s="1"/>
  <c r="H9" i="8" s="1"/>
  <c r="I9" i="8" s="1"/>
  <c r="J9" i="8" s="1"/>
  <c r="D41" i="15"/>
  <c r="E41" i="15"/>
  <c r="I41" i="15" s="1"/>
  <c r="I50" i="15" s="1"/>
  <c r="C41" i="15"/>
  <c r="C5" i="15"/>
  <c r="F1" i="1" s="1"/>
  <c r="F14" i="15"/>
  <c r="G14" i="15"/>
  <c r="E14" i="15"/>
  <c r="D52" i="15"/>
  <c r="D50" i="15"/>
  <c r="E50" i="15"/>
  <c r="D48" i="15"/>
  <c r="D46" i="15"/>
  <c r="D44" i="15"/>
  <c r="D42" i="15"/>
  <c r="J50" i="15"/>
  <c r="H41" i="15"/>
  <c r="H50" i="15" s="1"/>
  <c r="G42" i="15"/>
  <c r="C48" i="15"/>
  <c r="C46" i="15"/>
  <c r="B52" i="15"/>
  <c r="G47" i="15" s="1"/>
  <c r="B44" i="15"/>
  <c r="G43" i="15" s="1"/>
  <c r="B46" i="15"/>
  <c r="G44" i="15" s="1"/>
  <c r="B48" i="15"/>
  <c r="G45" i="15" s="1"/>
  <c r="B50" i="15"/>
  <c r="G46" i="15" s="1"/>
  <c r="B42" i="15"/>
  <c r="G11" i="15"/>
  <c r="E52" i="15" s="1"/>
  <c r="E11" i="15"/>
  <c r="C52" i="15" s="1"/>
  <c r="D67" i="1"/>
  <c r="E67" i="1"/>
  <c r="F67" i="1"/>
  <c r="G67" i="1"/>
  <c r="H67" i="1"/>
  <c r="I67" i="1"/>
  <c r="I13" i="9"/>
  <c r="C36" i="11"/>
  <c r="J36" i="2"/>
  <c r="J37" i="2"/>
  <c r="J38" i="2"/>
  <c r="J39" i="2"/>
  <c r="J40" i="2"/>
  <c r="J41" i="2"/>
  <c r="B35" i="2"/>
  <c r="C35" i="2"/>
  <c r="D35" i="2"/>
  <c r="J35" i="2"/>
  <c r="E35" i="2"/>
  <c r="F35" i="2"/>
  <c r="C52" i="4"/>
  <c r="C53" i="4"/>
  <c r="C54" i="4"/>
  <c r="C55" i="4"/>
  <c r="C56" i="4"/>
  <c r="C57" i="4"/>
  <c r="C51" i="4"/>
  <c r="G7" i="15"/>
  <c r="E44" i="15" s="1"/>
  <c r="G8" i="15"/>
  <c r="E46" i="15" s="1"/>
  <c r="G9" i="15"/>
  <c r="E48" i="15" s="1"/>
  <c r="G10" i="15"/>
  <c r="G6" i="15"/>
  <c r="E42" i="15" s="1"/>
  <c r="E7" i="15"/>
  <c r="C44" i="15" s="1"/>
  <c r="E8" i="15"/>
  <c r="E9" i="15"/>
  <c r="E10" i="15"/>
  <c r="C50" i="15" s="1"/>
  <c r="E6" i="15"/>
  <c r="C42" i="15" s="1"/>
  <c r="C3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D25" i="10"/>
  <c r="C4" i="10"/>
  <c r="C13" i="2"/>
  <c r="D49" i="1"/>
  <c r="E49" i="1"/>
  <c r="F49" i="1"/>
  <c r="G49" i="1"/>
  <c r="H49" i="1"/>
  <c r="I49" i="1"/>
  <c r="B27" i="2"/>
  <c r="B28" i="2"/>
  <c r="B29" i="2"/>
  <c r="B30" i="2"/>
  <c r="B31" i="2"/>
  <c r="B32" i="2"/>
  <c r="B33" i="2"/>
  <c r="B34" i="2"/>
  <c r="B26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5" i="2"/>
  <c r="E5" i="2"/>
  <c r="F5" i="2"/>
  <c r="D5" i="2"/>
  <c r="D6" i="2"/>
  <c r="E6" i="2"/>
  <c r="F6" i="2"/>
  <c r="D7" i="2"/>
  <c r="E7" i="2"/>
  <c r="F7" i="2"/>
  <c r="D8" i="2"/>
  <c r="E8" i="2"/>
  <c r="F8" i="2"/>
  <c r="D9" i="2"/>
  <c r="E9" i="2"/>
  <c r="F9" i="2"/>
  <c r="D10" i="2"/>
  <c r="E10" i="2"/>
  <c r="F10" i="2"/>
  <c r="D11" i="2"/>
  <c r="E11" i="2"/>
  <c r="F11" i="2"/>
  <c r="D12" i="2"/>
  <c r="E12" i="2"/>
  <c r="F12" i="2"/>
  <c r="D13" i="2"/>
  <c r="E13" i="2"/>
  <c r="F13" i="2"/>
  <c r="D14" i="2"/>
  <c r="E14" i="2"/>
  <c r="F14" i="2"/>
  <c r="D15" i="2"/>
  <c r="E15" i="2"/>
  <c r="F15" i="2"/>
  <c r="D16" i="2"/>
  <c r="E16" i="2"/>
  <c r="F16" i="2"/>
  <c r="D17" i="2"/>
  <c r="E17" i="2"/>
  <c r="F17" i="2"/>
  <c r="D18" i="2"/>
  <c r="E18" i="2"/>
  <c r="F18" i="2"/>
  <c r="D19" i="2"/>
  <c r="E19" i="2"/>
  <c r="F19" i="2"/>
  <c r="D20" i="2"/>
  <c r="E20" i="2"/>
  <c r="F20" i="2"/>
  <c r="D21" i="2"/>
  <c r="E21" i="2"/>
  <c r="F21" i="2"/>
  <c r="D22" i="2"/>
  <c r="E22" i="2"/>
  <c r="F22" i="2"/>
  <c r="D23" i="2"/>
  <c r="E23" i="2"/>
  <c r="F23" i="2"/>
  <c r="D24" i="2"/>
  <c r="E24" i="2"/>
  <c r="F24" i="2"/>
  <c r="D26" i="2"/>
  <c r="E26" i="2"/>
  <c r="F26" i="2"/>
  <c r="D27" i="2"/>
  <c r="E27" i="2"/>
  <c r="F27" i="2"/>
  <c r="D28" i="2"/>
  <c r="E28" i="2"/>
  <c r="F28" i="2"/>
  <c r="D29" i="2"/>
  <c r="E29" i="2"/>
  <c r="F29" i="2"/>
  <c r="D30" i="2"/>
  <c r="E30" i="2"/>
  <c r="F30" i="2"/>
  <c r="D31" i="2"/>
  <c r="E31" i="2"/>
  <c r="F31" i="2"/>
  <c r="D32" i="2"/>
  <c r="E32" i="2"/>
  <c r="F32" i="2"/>
  <c r="D33" i="2"/>
  <c r="E33" i="2"/>
  <c r="F33" i="2"/>
  <c r="D34" i="2"/>
  <c r="E34" i="2"/>
  <c r="F34" i="2"/>
  <c r="C6" i="2"/>
  <c r="C7" i="2"/>
  <c r="C8" i="2"/>
  <c r="C9" i="2"/>
  <c r="C10" i="2"/>
  <c r="C11" i="2"/>
  <c r="C12" i="2"/>
  <c r="C14" i="2"/>
  <c r="C15" i="2"/>
  <c r="C16" i="2"/>
  <c r="C17" i="2"/>
  <c r="C18" i="2"/>
  <c r="C19" i="2"/>
  <c r="C20" i="2"/>
  <c r="C21" i="2"/>
  <c r="C22" i="2"/>
  <c r="C23" i="2"/>
  <c r="C24" i="2"/>
  <c r="C26" i="2"/>
  <c r="C27" i="2"/>
  <c r="C28" i="2"/>
  <c r="C29" i="2"/>
  <c r="C30" i="2"/>
  <c r="C31" i="2"/>
  <c r="C32" i="2"/>
  <c r="C33" i="2"/>
  <c r="C34" i="2"/>
  <c r="C5" i="2"/>
  <c r="D72" i="1"/>
  <c r="E72" i="1"/>
  <c r="F72" i="1"/>
  <c r="G72" i="1"/>
  <c r="H72" i="1"/>
  <c r="I72" i="1"/>
  <c r="E3" i="9"/>
  <c r="F3" i="9"/>
  <c r="G3" i="9"/>
  <c r="H3" i="9"/>
  <c r="I3" i="9"/>
  <c r="J3" i="9"/>
  <c r="C18" i="4"/>
  <c r="E52" i="2"/>
  <c r="D52" i="2"/>
  <c r="C52" i="2"/>
  <c r="C8" i="8"/>
  <c r="C24" i="8"/>
  <c r="C3" i="10"/>
  <c r="D3" i="11"/>
  <c r="D36" i="11"/>
  <c r="E3" i="11"/>
  <c r="E36" i="11"/>
  <c r="D94" i="4"/>
  <c r="C12" i="4"/>
  <c r="E15" i="4" a="1"/>
  <c r="I15" i="4" s="1"/>
  <c r="C6" i="4"/>
  <c r="D6" i="4"/>
  <c r="E21" i="4" a="1"/>
  <c r="G21" i="4" s="1"/>
  <c r="C24" i="4"/>
  <c r="E27" i="4" a="1"/>
  <c r="E27" i="4" s="1"/>
  <c r="C30" i="4"/>
  <c r="E32" i="4" s="1"/>
  <c r="F34" i="4" s="1"/>
  <c r="E33" i="4" a="1"/>
  <c r="F33" i="4" s="1"/>
  <c r="C36" i="4"/>
  <c r="E39" i="4" a="1"/>
  <c r="H39" i="4"/>
  <c r="C41" i="4"/>
  <c r="E43" i="4" a="1"/>
  <c r="G43" i="4"/>
  <c r="D3" i="14"/>
  <c r="E3" i="14"/>
  <c r="F3" i="14"/>
  <c r="G3" i="14"/>
  <c r="H3" i="14"/>
  <c r="I3" i="14"/>
  <c r="B54" i="2"/>
  <c r="B53" i="2"/>
  <c r="B17" i="4"/>
  <c r="B68" i="4"/>
  <c r="B46" i="9"/>
  <c r="B23" i="4"/>
  <c r="B73" i="4"/>
  <c r="B54" i="9"/>
  <c r="B29" i="4"/>
  <c r="B78" i="4"/>
  <c r="B62" i="9"/>
  <c r="B35" i="4"/>
  <c r="B70" i="9"/>
  <c r="B41" i="4"/>
  <c r="B78" i="9"/>
  <c r="B11" i="4"/>
  <c r="B63" i="4"/>
  <c r="B38" i="9"/>
  <c r="B83" i="4"/>
  <c r="B88" i="4"/>
  <c r="B24" i="8"/>
  <c r="D10" i="4"/>
  <c r="D50" i="4"/>
  <c r="D61" i="4"/>
  <c r="E4" i="4"/>
  <c r="F4" i="4"/>
  <c r="K3" i="2"/>
  <c r="K37" i="2"/>
  <c r="D38" i="4"/>
  <c r="E10" i="4"/>
  <c r="E94" i="4"/>
  <c r="F39" i="4"/>
  <c r="G33" i="4"/>
  <c r="E15" i="4"/>
  <c r="I39" i="4"/>
  <c r="G39" i="4"/>
  <c r="E39" i="4"/>
  <c r="F15" i="4"/>
  <c r="J39" i="4"/>
  <c r="G27" i="4"/>
  <c r="E43" i="4"/>
  <c r="G15" i="4"/>
  <c r="E21" i="4"/>
  <c r="F21" i="4"/>
  <c r="H15" i="4"/>
  <c r="I21" i="4"/>
  <c r="H43" i="4"/>
  <c r="F27" i="4"/>
  <c r="H27" i="4"/>
  <c r="I27" i="4"/>
  <c r="J27" i="4"/>
  <c r="F52" i="2"/>
  <c r="D3" i="10"/>
  <c r="D8" i="8"/>
  <c r="D24" i="8"/>
  <c r="E3" i="10"/>
  <c r="E8" i="8"/>
  <c r="E24" i="8"/>
  <c r="F3" i="11"/>
  <c r="F36" i="11"/>
  <c r="J29" i="2"/>
  <c r="K29" i="2"/>
  <c r="D32" i="4"/>
  <c r="E34" i="4" s="1"/>
  <c r="D26" i="4"/>
  <c r="E28" i="4" s="1"/>
  <c r="J8" i="2"/>
  <c r="E50" i="4"/>
  <c r="E61" i="4"/>
  <c r="K8" i="2"/>
  <c r="G52" i="2"/>
  <c r="F53" i="2"/>
  <c r="G3" i="11"/>
  <c r="G36" i="11"/>
  <c r="F8" i="8"/>
  <c r="F24" i="8"/>
  <c r="F3" i="10"/>
  <c r="J13" i="2"/>
  <c r="J23" i="2"/>
  <c r="J28" i="2"/>
  <c r="J42" i="2"/>
  <c r="J19" i="2"/>
  <c r="E38" i="4"/>
  <c r="H52" i="2"/>
  <c r="G53" i="2"/>
  <c r="G57" i="2"/>
  <c r="G23" i="10" s="1"/>
  <c r="H19" i="10" s="1"/>
  <c r="G8" i="8"/>
  <c r="G24" i="8"/>
  <c r="G3" i="10"/>
  <c r="K28" i="2"/>
  <c r="K42" i="2"/>
  <c r="H53" i="2"/>
  <c r="H57" i="2"/>
  <c r="H23" i="10" s="1"/>
  <c r="I19" i="10" s="1"/>
  <c r="I52" i="2"/>
  <c r="I57" i="2"/>
  <c r="I23" i="10" s="1"/>
  <c r="J19" i="10" s="1"/>
  <c r="I53" i="2"/>
  <c r="J52" i="2"/>
  <c r="J21" i="4"/>
  <c r="H33" i="4"/>
  <c r="J33" i="4"/>
  <c r="H21" i="4"/>
  <c r="I33" i="4"/>
  <c r="J43" i="4"/>
  <c r="J15" i="4"/>
  <c r="F43" i="4"/>
  <c r="I43" i="4"/>
  <c r="G4" i="4"/>
  <c r="F10" i="4"/>
  <c r="F94" i="4"/>
  <c r="E7" i="4"/>
  <c r="E6" i="4"/>
  <c r="F6" i="4"/>
  <c r="G6" i="4"/>
  <c r="H6" i="4"/>
  <c r="I6" i="4"/>
  <c r="J6" i="4"/>
  <c r="K6" i="4"/>
  <c r="H3" i="11"/>
  <c r="K19" i="2"/>
  <c r="K23" i="2"/>
  <c r="K35" i="2"/>
  <c r="K41" i="2"/>
  <c r="K38" i="2"/>
  <c r="K40" i="2"/>
  <c r="K39" i="2"/>
  <c r="L3" i="2"/>
  <c r="G10" i="4"/>
  <c r="H4" i="4"/>
  <c r="G94" i="4"/>
  <c r="L38" i="2"/>
  <c r="L41" i="2"/>
  <c r="L23" i="2"/>
  <c r="L35" i="2"/>
  <c r="M3" i="2"/>
  <c r="L29" i="2"/>
  <c r="L42" i="2"/>
  <c r="L39" i="2"/>
  <c r="L40" i="2"/>
  <c r="I3" i="11"/>
  <c r="H8" i="8"/>
  <c r="H24" i="8"/>
  <c r="H36" i="11"/>
  <c r="H3" i="10"/>
  <c r="F7" i="4"/>
  <c r="F50" i="4"/>
  <c r="F61" i="4"/>
  <c r="F38" i="4"/>
  <c r="M39" i="2"/>
  <c r="M40" i="2"/>
  <c r="M41" i="2"/>
  <c r="M23" i="2"/>
  <c r="M35" i="2"/>
  <c r="N3" i="2"/>
  <c r="M42" i="2"/>
  <c r="G50" i="4"/>
  <c r="G61" i="4"/>
  <c r="G7" i="4"/>
  <c r="I36" i="11"/>
  <c r="I8" i="8"/>
  <c r="I24" i="8"/>
  <c r="I3" i="10"/>
  <c r="J3" i="11"/>
  <c r="I4" i="4"/>
  <c r="H10" i="4"/>
  <c r="H94" i="4"/>
  <c r="H50" i="4"/>
  <c r="H61" i="4"/>
  <c r="O3" i="2"/>
  <c r="N40" i="2"/>
  <c r="N41" i="2"/>
  <c r="N42" i="2"/>
  <c r="N35" i="2"/>
  <c r="N23" i="2"/>
  <c r="I10" i="4"/>
  <c r="I94" i="4"/>
  <c r="J4" i="4"/>
  <c r="J8" i="8"/>
  <c r="J24" i="8"/>
  <c r="J36" i="11"/>
  <c r="J3" i="10"/>
  <c r="H7" i="4"/>
  <c r="I7" i="4"/>
  <c r="I50" i="4"/>
  <c r="I61" i="4"/>
  <c r="O23" i="2"/>
  <c r="P3" i="2"/>
  <c r="O35" i="2"/>
  <c r="O41" i="2"/>
  <c r="O42" i="2"/>
  <c r="K4" i="4"/>
  <c r="J10" i="4"/>
  <c r="J94" i="4"/>
  <c r="P35" i="2"/>
  <c r="P42" i="2"/>
  <c r="P23" i="2"/>
  <c r="J50" i="4"/>
  <c r="J61" i="4"/>
  <c r="K94" i="4"/>
  <c r="K10" i="4"/>
  <c r="J7" i="4"/>
  <c r="K7" i="4"/>
  <c r="K50" i="4"/>
  <c r="K61" i="4"/>
  <c r="E33" i="4" l="1"/>
  <c r="E12" i="18"/>
  <c r="D33" i="17"/>
  <c r="D16" i="17"/>
  <c r="D19" i="17" s="1"/>
  <c r="D21" i="17" s="1"/>
  <c r="H37" i="17"/>
  <c r="G12" i="18"/>
  <c r="F15" i="17"/>
  <c r="E17" i="17"/>
  <c r="E16" i="17"/>
  <c r="E19" i="17" s="1"/>
  <c r="E21" i="17" s="1"/>
  <c r="D17" i="17"/>
  <c r="F35" i="18"/>
  <c r="F22" i="18"/>
  <c r="D12" i="18"/>
  <c r="B31" i="17"/>
  <c r="I17" i="17"/>
  <c r="I18" i="17" s="1"/>
  <c r="E5" i="14"/>
  <c r="F5" i="10" s="1"/>
  <c r="F2" i="9"/>
  <c r="C4" i="4"/>
  <c r="C64" i="4" s="1"/>
  <c r="C2" i="4"/>
  <c r="C14" i="4" s="1"/>
  <c r="D14" i="4" s="1"/>
  <c r="C17" i="10"/>
  <c r="C29" i="8" s="1"/>
  <c r="G5" i="14"/>
  <c r="H5" i="10" s="1"/>
  <c r="G17" i="10"/>
  <c r="G37" i="11" s="1"/>
  <c r="C21" i="11"/>
  <c r="F5" i="14"/>
  <c r="G5" i="10" s="1"/>
  <c r="C5" i="14"/>
  <c r="D5" i="10" s="1"/>
  <c r="C10" i="14"/>
  <c r="D10" i="14" s="1"/>
  <c r="E10" i="14" s="1"/>
  <c r="F10" i="14" s="1"/>
  <c r="D17" i="10"/>
  <c r="D37" i="11" s="1"/>
  <c r="H5" i="14"/>
  <c r="I5" i="10" s="1"/>
  <c r="I5" i="14"/>
  <c r="J5" i="10" s="1"/>
  <c r="H2" i="2"/>
  <c r="G34" i="2" s="1"/>
  <c r="C1" i="4"/>
  <c r="C13" i="4" s="1"/>
  <c r="K13" i="4" s="1"/>
  <c r="I12" i="11"/>
  <c r="H12" i="11"/>
  <c r="G12" i="11"/>
  <c r="C37" i="11" l="1"/>
  <c r="G35" i="18"/>
  <c r="F23" i="18"/>
  <c r="E35" i="18"/>
  <c r="F21" i="18"/>
  <c r="D35" i="18"/>
  <c r="F20" i="18"/>
  <c r="C21" i="18" s="1"/>
  <c r="F17" i="17"/>
  <c r="F16" i="17"/>
  <c r="F19" i="17" s="1"/>
  <c r="F21" i="17" s="1"/>
  <c r="G15" i="17"/>
  <c r="D52" i="4"/>
  <c r="E52" i="4" s="1"/>
  <c r="F52" i="4" s="1"/>
  <c r="G52" i="4" s="1"/>
  <c r="H52" i="4" s="1"/>
  <c r="I52" i="4" s="1"/>
  <c r="J52" i="4" s="1"/>
  <c r="K52" i="4" s="1"/>
  <c r="C75" i="4"/>
  <c r="B3" i="2"/>
  <c r="C91" i="4"/>
  <c r="D51" i="4"/>
  <c r="E51" i="4" s="1"/>
  <c r="F51" i="4" s="1"/>
  <c r="G51" i="4" s="1"/>
  <c r="C74" i="4"/>
  <c r="C84" i="4"/>
  <c r="G9" i="4"/>
  <c r="G3" i="4" s="1"/>
  <c r="D53" i="4"/>
  <c r="E53" i="4" s="1"/>
  <c r="F53" i="4" s="1"/>
  <c r="G53" i="4" s="1"/>
  <c r="H53" i="4" s="1"/>
  <c r="I53" i="4" s="1"/>
  <c r="J53" i="4" s="1"/>
  <c r="K53" i="4" s="1"/>
  <c r="C76" i="4"/>
  <c r="C80" i="4"/>
  <c r="C66" i="4"/>
  <c r="C81" i="4"/>
  <c r="C70" i="4"/>
  <c r="C65" i="4"/>
  <c r="D56" i="4"/>
  <c r="E56" i="4" s="1"/>
  <c r="F56" i="4" s="1"/>
  <c r="G56" i="4" s="1"/>
  <c r="H56" i="4" s="1"/>
  <c r="I56" i="4" s="1"/>
  <c r="J56" i="4" s="1"/>
  <c r="K56" i="4" s="1"/>
  <c r="C89" i="4"/>
  <c r="C71" i="4"/>
  <c r="C79" i="4"/>
  <c r="C90" i="4"/>
  <c r="C85" i="4"/>
  <c r="C86" i="4"/>
  <c r="D55" i="4"/>
  <c r="E55" i="4" s="1"/>
  <c r="F55" i="4" s="1"/>
  <c r="G55" i="4" s="1"/>
  <c r="H55" i="4" s="1"/>
  <c r="I55" i="4" s="1"/>
  <c r="J55" i="4" s="1"/>
  <c r="K55" i="4" s="1"/>
  <c r="C69" i="4"/>
  <c r="D57" i="4"/>
  <c r="D54" i="4"/>
  <c r="E54" i="4" s="1"/>
  <c r="F54" i="4" s="1"/>
  <c r="G54" i="4" s="1"/>
  <c r="H54" i="4" s="1"/>
  <c r="I54" i="4" s="1"/>
  <c r="J54" i="4" s="1"/>
  <c r="K54" i="4" s="1"/>
  <c r="H17" i="10"/>
  <c r="H37" i="11" s="1"/>
  <c r="D2" i="14"/>
  <c r="E2" i="8"/>
  <c r="D2" i="10"/>
  <c r="D2" i="11"/>
  <c r="F49" i="4"/>
  <c r="C26" i="4"/>
  <c r="E26" i="4" s="1"/>
  <c r="C32" i="4"/>
  <c r="F32" i="4" s="1"/>
  <c r="C20" i="4"/>
  <c r="D20" i="4" s="1"/>
  <c r="C38" i="4"/>
  <c r="G38" i="4" s="1"/>
  <c r="J17" i="10"/>
  <c r="J37" i="11" s="1"/>
  <c r="E17" i="10"/>
  <c r="E37" i="11" s="1"/>
  <c r="F17" i="10"/>
  <c r="F37" i="11" s="1"/>
  <c r="I17" i="10"/>
  <c r="I37" i="11" s="1"/>
  <c r="D5" i="14"/>
  <c r="E5" i="10" s="1"/>
  <c r="G28" i="2"/>
  <c r="L28" i="2" s="1"/>
  <c r="G24" i="2"/>
  <c r="H24" i="2" s="1"/>
  <c r="G8" i="2"/>
  <c r="L8" i="2" s="1"/>
  <c r="G23" i="2"/>
  <c r="J53" i="2" s="1"/>
  <c r="G7" i="2"/>
  <c r="J7" i="2" s="1"/>
  <c r="G14" i="2"/>
  <c r="J14" i="2" s="1"/>
  <c r="K14" i="2" s="1"/>
  <c r="G27" i="2"/>
  <c r="G11" i="2"/>
  <c r="J11" i="2" s="1"/>
  <c r="G26" i="2"/>
  <c r="H26" i="2" s="1"/>
  <c r="G12" i="2"/>
  <c r="J12" i="2" s="1"/>
  <c r="G17" i="2"/>
  <c r="H17" i="2" s="1"/>
  <c r="G30" i="2"/>
  <c r="J30" i="2" s="1"/>
  <c r="F13" i="4"/>
  <c r="G16" i="2"/>
  <c r="H16" i="2" s="1"/>
  <c r="G9" i="2"/>
  <c r="H9" i="2" s="1"/>
  <c r="G33" i="2"/>
  <c r="H33" i="2" s="1"/>
  <c r="G29" i="2"/>
  <c r="H29" i="2" s="1"/>
  <c r="F57" i="2" s="1"/>
  <c r="G6" i="2"/>
  <c r="J6" i="2" s="1"/>
  <c r="G32" i="2"/>
  <c r="H32" i="2" s="1"/>
  <c r="G18" i="2"/>
  <c r="J18" i="2" s="1"/>
  <c r="G20" i="2"/>
  <c r="H20" i="2" s="1"/>
  <c r="G21" i="2"/>
  <c r="H21" i="2" s="1"/>
  <c r="G31" i="2"/>
  <c r="J31" i="2" s="1"/>
  <c r="G13" i="2"/>
  <c r="H13" i="2" s="1"/>
  <c r="D57" i="2" s="1"/>
  <c r="D12" i="11" s="1"/>
  <c r="G22" i="2"/>
  <c r="H22" i="2" s="1"/>
  <c r="G19" i="2"/>
  <c r="H19" i="2" s="1"/>
  <c r="G5" i="2"/>
  <c r="J5" i="2" s="1"/>
  <c r="G35" i="2"/>
  <c r="H35" i="2" s="1"/>
  <c r="G15" i="2"/>
  <c r="H15" i="2" s="1"/>
  <c r="G10" i="2"/>
  <c r="J10" i="2" s="1"/>
  <c r="K10" i="2" s="1"/>
  <c r="C37" i="4"/>
  <c r="F37" i="4" s="1"/>
  <c r="F36" i="4" s="1"/>
  <c r="G40" i="4" s="1"/>
  <c r="D29" i="8"/>
  <c r="D21" i="11"/>
  <c r="E21" i="11" s="1"/>
  <c r="F21" i="11" s="1"/>
  <c r="G21" i="11" s="1"/>
  <c r="C25" i="4"/>
  <c r="H25" i="4" s="1"/>
  <c r="C31" i="4"/>
  <c r="J31" i="4" s="1"/>
  <c r="C19" i="4"/>
  <c r="I19" i="4" s="1"/>
  <c r="J13" i="4"/>
  <c r="D13" i="4"/>
  <c r="D12" i="4" s="1"/>
  <c r="D65" i="4" s="1"/>
  <c r="G13" i="4"/>
  <c r="H13" i="4"/>
  <c r="I13" i="4"/>
  <c r="E13" i="4"/>
  <c r="C42" i="4"/>
  <c r="C3" i="4"/>
  <c r="C4" i="8"/>
  <c r="H34" i="2"/>
  <c r="J34" i="2"/>
  <c r="K34" i="2" s="1"/>
  <c r="L34" i="2" s="1"/>
  <c r="H28" i="2"/>
  <c r="G10" i="14"/>
  <c r="G29" i="8"/>
  <c r="K7" i="2" l="1"/>
  <c r="L7" i="2" s="1"/>
  <c r="M7" i="2" s="1"/>
  <c r="N7" i="2" s="1"/>
  <c r="H11" i="2"/>
  <c r="M29" i="2"/>
  <c r="N29" i="2" s="1"/>
  <c r="O29" i="2" s="1"/>
  <c r="P29" i="2" s="1"/>
  <c r="H30" i="2"/>
  <c r="J26" i="2"/>
  <c r="K26" i="2" s="1"/>
  <c r="H23" i="2"/>
  <c r="J57" i="2" s="1"/>
  <c r="J12" i="11" s="1"/>
  <c r="K13" i="2"/>
  <c r="L13" i="2" s="1"/>
  <c r="M13" i="2" s="1"/>
  <c r="G16" i="17"/>
  <c r="G19" i="17" s="1"/>
  <c r="G21" i="17" s="1"/>
  <c r="H15" i="17"/>
  <c r="G17" i="17"/>
  <c r="C22" i="18"/>
  <c r="C23" i="18" s="1"/>
  <c r="C24" i="18" s="1"/>
  <c r="E58" i="4"/>
  <c r="F59" i="4"/>
  <c r="C38" i="2" s="1"/>
  <c r="G38" i="2" s="1"/>
  <c r="F54" i="2" s="1"/>
  <c r="F55" i="2" s="1"/>
  <c r="F22" i="10" s="1"/>
  <c r="F13" i="8" s="1"/>
  <c r="F30" i="8" s="1"/>
  <c r="E59" i="4"/>
  <c r="C37" i="2" s="1"/>
  <c r="G37" i="2" s="1"/>
  <c r="L37" i="2" s="1"/>
  <c r="D59" i="4"/>
  <c r="C36" i="2" s="1"/>
  <c r="G36" i="2" s="1"/>
  <c r="K36" i="2" s="1"/>
  <c r="F29" i="8"/>
  <c r="H31" i="2"/>
  <c r="F58" i="4"/>
  <c r="D58" i="4"/>
  <c r="D10" i="10" s="1"/>
  <c r="J33" i="2"/>
  <c r="J22" i="2"/>
  <c r="K22" i="2" s="1"/>
  <c r="L22" i="2" s="1"/>
  <c r="M22" i="2" s="1"/>
  <c r="H18" i="2"/>
  <c r="E29" i="8"/>
  <c r="J16" i="2"/>
  <c r="K16" i="2" s="1"/>
  <c r="H7" i="2"/>
  <c r="J20" i="2"/>
  <c r="K20" i="2" s="1"/>
  <c r="D53" i="2"/>
  <c r="J15" i="2"/>
  <c r="K15" i="2" s="1"/>
  <c r="D25" i="4"/>
  <c r="D24" i="4" s="1"/>
  <c r="D74" i="4" s="1"/>
  <c r="G25" i="4"/>
  <c r="G34" i="4"/>
  <c r="G32" i="4" s="1"/>
  <c r="H34" i="4" s="1"/>
  <c r="H32" i="4" s="1"/>
  <c r="I34" i="4" s="1"/>
  <c r="I32" i="4" s="1"/>
  <c r="D66" i="4"/>
  <c r="D39" i="9"/>
  <c r="D23" i="10"/>
  <c r="E19" i="10" s="1"/>
  <c r="K18" i="2"/>
  <c r="L18" i="2" s="1"/>
  <c r="M18" i="2" s="1"/>
  <c r="N18" i="2" s="1"/>
  <c r="I31" i="4"/>
  <c r="F31" i="4"/>
  <c r="F30" i="4" s="1"/>
  <c r="F79" i="4" s="1"/>
  <c r="E31" i="4"/>
  <c r="E30" i="4" s="1"/>
  <c r="E79" i="4" s="1"/>
  <c r="H31" i="4"/>
  <c r="K37" i="4"/>
  <c r="C54" i="2"/>
  <c r="C6" i="11" s="1"/>
  <c r="H27" i="2"/>
  <c r="J32" i="2"/>
  <c r="K32" i="2" s="1"/>
  <c r="L32" i="2" s="1"/>
  <c r="M32" i="2" s="1"/>
  <c r="I37" i="4"/>
  <c r="K5" i="2"/>
  <c r="L5" i="2" s="1"/>
  <c r="M5" i="2" s="1"/>
  <c r="N5" i="2" s="1"/>
  <c r="M8" i="2"/>
  <c r="J17" i="2"/>
  <c r="K17" i="2" s="1"/>
  <c r="J9" i="2"/>
  <c r="K9" i="2" s="1"/>
  <c r="L9" i="2" s="1"/>
  <c r="M9" i="2" s="1"/>
  <c r="N9" i="2" s="1"/>
  <c r="J27" i="2"/>
  <c r="K27" i="2" s="1"/>
  <c r="D37" i="4"/>
  <c r="D36" i="4" s="1"/>
  <c r="E40" i="4" s="1"/>
  <c r="J37" i="4"/>
  <c r="H8" i="2"/>
  <c r="E57" i="2" s="1"/>
  <c r="H5" i="2"/>
  <c r="D31" i="4"/>
  <c r="D30" i="4" s="1"/>
  <c r="D80" i="4" s="1"/>
  <c r="K31" i="4"/>
  <c r="G31" i="4"/>
  <c r="F71" i="9"/>
  <c r="F86" i="4"/>
  <c r="H37" i="4"/>
  <c r="E37" i="4"/>
  <c r="E36" i="4" s="1"/>
  <c r="E71" i="9" s="1"/>
  <c r="L19" i="2"/>
  <c r="M19" i="2" s="1"/>
  <c r="H10" i="2"/>
  <c r="K12" i="2"/>
  <c r="L12" i="2" s="1"/>
  <c r="E19" i="4"/>
  <c r="C53" i="2"/>
  <c r="C4" i="11" s="1"/>
  <c r="G19" i="4"/>
  <c r="H19" i="4"/>
  <c r="L16" i="2"/>
  <c r="M16" i="2" s="1"/>
  <c r="H6" i="2"/>
  <c r="H14" i="2"/>
  <c r="J21" i="2"/>
  <c r="K21" i="2" s="1"/>
  <c r="L21" i="2" s="1"/>
  <c r="J24" i="2"/>
  <c r="K24" i="2" s="1"/>
  <c r="K19" i="4"/>
  <c r="F19" i="4"/>
  <c r="D19" i="4"/>
  <c r="D18" i="4" s="1"/>
  <c r="D70" i="4" s="1"/>
  <c r="H12" i="2"/>
  <c r="E53" i="2"/>
  <c r="F84" i="4"/>
  <c r="J25" i="4"/>
  <c r="F25" i="4"/>
  <c r="K25" i="4"/>
  <c r="J19" i="4"/>
  <c r="E25" i="4"/>
  <c r="E24" i="4" s="1"/>
  <c r="E75" i="4" s="1"/>
  <c r="I25" i="4"/>
  <c r="G37" i="4"/>
  <c r="G36" i="4" s="1"/>
  <c r="G84" i="4" s="1"/>
  <c r="F85" i="4"/>
  <c r="D64" i="4"/>
  <c r="E22" i="4"/>
  <c r="E20" i="4" s="1"/>
  <c r="F22" i="4" s="1"/>
  <c r="F20" i="4" s="1"/>
  <c r="G22" i="4" s="1"/>
  <c r="G20" i="4" s="1"/>
  <c r="F28" i="4"/>
  <c r="F26" i="4" s="1"/>
  <c r="G28" i="4" s="1"/>
  <c r="G26" i="4" s="1"/>
  <c r="H28" i="4" s="1"/>
  <c r="H26" i="4" s="1"/>
  <c r="K16" i="4"/>
  <c r="K28" i="4"/>
  <c r="K34" i="4"/>
  <c r="E16" i="4"/>
  <c r="E14" i="4" s="1"/>
  <c r="K44" i="4"/>
  <c r="K40" i="4"/>
  <c r="K22" i="4"/>
  <c r="M34" i="2"/>
  <c r="N34" i="2" s="1"/>
  <c r="H21" i="11"/>
  <c r="K6" i="2"/>
  <c r="L6" i="2" s="1"/>
  <c r="M6" i="2" s="1"/>
  <c r="N6" i="2" s="1"/>
  <c r="K11" i="2"/>
  <c r="L11" i="2" s="1"/>
  <c r="L15" i="2"/>
  <c r="L14" i="2"/>
  <c r="M14" i="2" s="1"/>
  <c r="N14" i="2" s="1"/>
  <c r="O14" i="2" s="1"/>
  <c r="K33" i="2"/>
  <c r="L33" i="2" s="1"/>
  <c r="M33" i="2" s="1"/>
  <c r="M28" i="2"/>
  <c r="N28" i="2" s="1"/>
  <c r="F12" i="11"/>
  <c r="F23" i="10"/>
  <c r="G19" i="10" s="1"/>
  <c r="L10" i="2"/>
  <c r="M10" i="2" s="1"/>
  <c r="N10" i="2" s="1"/>
  <c r="K30" i="2"/>
  <c r="L30" i="2" s="1"/>
  <c r="K31" i="2"/>
  <c r="L31" i="2" s="1"/>
  <c r="G58" i="4"/>
  <c r="G59" i="4"/>
  <c r="C39" i="2" s="1"/>
  <c r="G39" i="2" s="1"/>
  <c r="H51" i="4"/>
  <c r="H10" i="14"/>
  <c r="H29" i="8"/>
  <c r="O18" i="2" l="1"/>
  <c r="P18" i="2" s="1"/>
  <c r="D54" i="2"/>
  <c r="D6" i="11" s="1"/>
  <c r="L17" i="2"/>
  <c r="J46" i="2"/>
  <c r="D7" i="11" s="1"/>
  <c r="N19" i="2"/>
  <c r="O19" i="2" s="1"/>
  <c r="L20" i="2"/>
  <c r="M20" i="2" s="1"/>
  <c r="E10" i="10"/>
  <c r="O7" i="2"/>
  <c r="P7" i="2" s="1"/>
  <c r="F10" i="10"/>
  <c r="D8" i="14"/>
  <c r="M37" i="2"/>
  <c r="M38" i="2"/>
  <c r="E8" i="14"/>
  <c r="J23" i="10"/>
  <c r="H16" i="17"/>
  <c r="H19" i="17" s="1"/>
  <c r="H21" i="17" s="1"/>
  <c r="H23" i="17" s="1"/>
  <c r="H17" i="17"/>
  <c r="H18" i="17" s="1"/>
  <c r="E80" i="4"/>
  <c r="E54" i="2"/>
  <c r="E55" i="2" s="1"/>
  <c r="E22" i="10" s="1"/>
  <c r="E13" i="8" s="1"/>
  <c r="E30" i="8" s="1"/>
  <c r="D85" i="4"/>
  <c r="L36" i="2"/>
  <c r="M36" i="2" s="1"/>
  <c r="C8" i="14"/>
  <c r="E84" i="4"/>
  <c r="E81" i="4"/>
  <c r="D75" i="4"/>
  <c r="E63" i="9"/>
  <c r="D55" i="9"/>
  <c r="D76" i="4"/>
  <c r="F80" i="4"/>
  <c r="F81" i="4"/>
  <c r="F63" i="9"/>
  <c r="C57" i="2"/>
  <c r="C23" i="10" s="1"/>
  <c r="D19" i="10" s="1"/>
  <c r="M12" i="2"/>
  <c r="N12" i="2" s="1"/>
  <c r="O12" i="2" s="1"/>
  <c r="P12" i="2" s="1"/>
  <c r="D4" i="11"/>
  <c r="E4" i="11" s="1"/>
  <c r="F4" i="11" s="1"/>
  <c r="G4" i="11" s="1"/>
  <c r="H4" i="11" s="1"/>
  <c r="I4" i="11" s="1"/>
  <c r="J4" i="11" s="1"/>
  <c r="H30" i="4"/>
  <c r="H63" i="9" s="1"/>
  <c r="D63" i="4"/>
  <c r="D40" i="9" s="1"/>
  <c r="D41" i="9" s="1"/>
  <c r="G30" i="4"/>
  <c r="G81" i="4" s="1"/>
  <c r="E76" i="4"/>
  <c r="D81" i="4"/>
  <c r="C8" i="11"/>
  <c r="L24" i="2"/>
  <c r="M24" i="2" s="1"/>
  <c r="M21" i="2"/>
  <c r="N21" i="2" s="1"/>
  <c r="O21" i="2" s="1"/>
  <c r="C55" i="2"/>
  <c r="C22" i="10" s="1"/>
  <c r="C13" i="8" s="1"/>
  <c r="C30" i="8" s="1"/>
  <c r="O34" i="2"/>
  <c r="P34" i="2" s="1"/>
  <c r="E55" i="9"/>
  <c r="D86" i="4"/>
  <c r="D63" i="9"/>
  <c r="D79" i="4"/>
  <c r="D84" i="4"/>
  <c r="D42" i="4"/>
  <c r="E44" i="4" s="1"/>
  <c r="D71" i="9"/>
  <c r="E74" i="4"/>
  <c r="F83" i="4"/>
  <c r="F72" i="9" s="1"/>
  <c r="F73" i="9" s="1"/>
  <c r="N16" i="2"/>
  <c r="O16" i="2" s="1"/>
  <c r="P16" i="2" s="1"/>
  <c r="E23" i="10"/>
  <c r="F19" i="10" s="1"/>
  <c r="E12" i="11"/>
  <c r="J45" i="2"/>
  <c r="D5" i="11" s="1"/>
  <c r="N8" i="2"/>
  <c r="O8" i="2" s="1"/>
  <c r="P8" i="2" s="1"/>
  <c r="D69" i="4"/>
  <c r="D71" i="4"/>
  <c r="E85" i="4"/>
  <c r="F40" i="4"/>
  <c r="G86" i="4"/>
  <c r="D47" i="9"/>
  <c r="E86" i="4"/>
  <c r="G24" i="4"/>
  <c r="G55" i="9" s="1"/>
  <c r="H40" i="4"/>
  <c r="H38" i="4" s="1"/>
  <c r="H36" i="4" s="1"/>
  <c r="G85" i="4"/>
  <c r="G71" i="9"/>
  <c r="F18" i="4"/>
  <c r="F71" i="4" s="1"/>
  <c r="D55" i="2"/>
  <c r="D22" i="10" s="1"/>
  <c r="D13" i="8" s="1"/>
  <c r="D30" i="8" s="1"/>
  <c r="E18" i="4"/>
  <c r="F24" i="4"/>
  <c r="E12" i="4"/>
  <c r="F16" i="4"/>
  <c r="F14" i="4" s="1"/>
  <c r="N13" i="2"/>
  <c r="O13" i="2" s="1"/>
  <c r="P13" i="2" s="1"/>
  <c r="O6" i="2"/>
  <c r="P6" i="2" s="1"/>
  <c r="N20" i="2"/>
  <c r="O20" i="2" s="1"/>
  <c r="P20" i="2" s="1"/>
  <c r="O28" i="2"/>
  <c r="P28" i="2" s="1"/>
  <c r="K46" i="2"/>
  <c r="E7" i="11" s="1"/>
  <c r="L26" i="2"/>
  <c r="M17" i="2"/>
  <c r="N17" i="2" s="1"/>
  <c r="O9" i="2"/>
  <c r="P9" i="2" s="1"/>
  <c r="O10" i="2"/>
  <c r="P10" i="2" s="1"/>
  <c r="L27" i="2"/>
  <c r="M27" i="2" s="1"/>
  <c r="K45" i="2"/>
  <c r="M11" i="2"/>
  <c r="N32" i="2"/>
  <c r="O32" i="2" s="1"/>
  <c r="M31" i="2"/>
  <c r="M30" i="2"/>
  <c r="N33" i="2"/>
  <c r="O33" i="2" s="1"/>
  <c r="P33" i="2" s="1"/>
  <c r="M15" i="2"/>
  <c r="O5" i="2"/>
  <c r="N22" i="2"/>
  <c r="O22" i="2" s="1"/>
  <c r="P14" i="2"/>
  <c r="N38" i="2"/>
  <c r="O38" i="2" s="1"/>
  <c r="P38" i="2" s="1"/>
  <c r="H58" i="4"/>
  <c r="I51" i="4"/>
  <c r="H59" i="4"/>
  <c r="C40" i="2" s="1"/>
  <c r="G40" i="2" s="1"/>
  <c r="G54" i="2"/>
  <c r="G55" i="2" s="1"/>
  <c r="G22" i="10" s="1"/>
  <c r="G13" i="8" s="1"/>
  <c r="G30" i="8" s="1"/>
  <c r="N39" i="2"/>
  <c r="O39" i="2" s="1"/>
  <c r="G10" i="10"/>
  <c r="F8" i="14"/>
  <c r="N37" i="2"/>
  <c r="O37" i="2" s="1"/>
  <c r="I29" i="8"/>
  <c r="I10" i="14"/>
  <c r="J29" i="8" s="1"/>
  <c r="I21" i="11"/>
  <c r="H22" i="4"/>
  <c r="H20" i="4" s="1"/>
  <c r="G18" i="4"/>
  <c r="I28" i="4"/>
  <c r="I26" i="4" s="1"/>
  <c r="H24" i="4"/>
  <c r="I30" i="4"/>
  <c r="J34" i="4"/>
  <c r="J32" i="4" s="1"/>
  <c r="P19" i="2" l="1"/>
  <c r="G79" i="4"/>
  <c r="G18" i="17"/>
  <c r="E78" i="4"/>
  <c r="E64" i="9" s="1"/>
  <c r="E65" i="9" s="1"/>
  <c r="F78" i="4"/>
  <c r="F64" i="9" s="1"/>
  <c r="F65" i="9" s="1"/>
  <c r="C12" i="11"/>
  <c r="N36" i="2"/>
  <c r="O36" i="2" s="1"/>
  <c r="P36" i="2" s="1"/>
  <c r="E6" i="11"/>
  <c r="F6" i="11" s="1"/>
  <c r="G6" i="11" s="1"/>
  <c r="H79" i="4"/>
  <c r="H81" i="4"/>
  <c r="H80" i="4"/>
  <c r="D73" i="4"/>
  <c r="D56" i="9" s="1"/>
  <c r="D57" i="9" s="1"/>
  <c r="G63" i="9"/>
  <c r="D89" i="4"/>
  <c r="D95" i="4" s="1"/>
  <c r="C102" i="4" s="1"/>
  <c r="C107" i="4" s="1"/>
  <c r="C25" i="11" s="1"/>
  <c r="C28" i="11" s="1"/>
  <c r="D79" i="9"/>
  <c r="G80" i="4"/>
  <c r="G74" i="4"/>
  <c r="E73" i="4"/>
  <c r="E56" i="9" s="1"/>
  <c r="E57" i="9" s="1"/>
  <c r="D78" i="4"/>
  <c r="D64" i="9" s="1"/>
  <c r="D65" i="9" s="1"/>
  <c r="C21" i="10"/>
  <c r="L45" i="2"/>
  <c r="N24" i="2"/>
  <c r="O24" i="2" s="1"/>
  <c r="G76" i="4"/>
  <c r="D46" i="4"/>
  <c r="D11" i="11" s="1"/>
  <c r="D6" i="10" s="1"/>
  <c r="D4" i="10" s="1"/>
  <c r="G75" i="4"/>
  <c r="D90" i="4"/>
  <c r="D96" i="4" s="1"/>
  <c r="D83" i="4"/>
  <c r="D72" i="9" s="1"/>
  <c r="D73" i="9" s="1"/>
  <c r="D91" i="4"/>
  <c r="G83" i="4"/>
  <c r="G72" i="9" s="1"/>
  <c r="G73" i="9" s="1"/>
  <c r="D68" i="4"/>
  <c r="D48" i="9" s="1"/>
  <c r="D49" i="9" s="1"/>
  <c r="E83" i="4"/>
  <c r="E72" i="9" s="1"/>
  <c r="E73" i="9" s="1"/>
  <c r="J47" i="2"/>
  <c r="C9" i="14" s="1"/>
  <c r="D11" i="8" s="1"/>
  <c r="D26" i="8" s="1"/>
  <c r="F70" i="4"/>
  <c r="F47" i="9"/>
  <c r="F69" i="4"/>
  <c r="E42" i="4"/>
  <c r="E91" i="4" s="1"/>
  <c r="E71" i="4"/>
  <c r="E69" i="4"/>
  <c r="E47" i="9"/>
  <c r="E70" i="4"/>
  <c r="F75" i="4"/>
  <c r="F74" i="4"/>
  <c r="F55" i="9"/>
  <c r="F76" i="4"/>
  <c r="G16" i="4"/>
  <c r="G14" i="4" s="1"/>
  <c r="F12" i="4"/>
  <c r="E64" i="4"/>
  <c r="E66" i="4"/>
  <c r="E39" i="9"/>
  <c r="E65" i="4"/>
  <c r="M45" i="2"/>
  <c r="N27" i="2"/>
  <c r="O27" i="2" s="1"/>
  <c r="P27" i="2" s="1"/>
  <c r="J21" i="11"/>
  <c r="K47" i="2"/>
  <c r="D9" i="14" s="1"/>
  <c r="L46" i="2"/>
  <c r="M26" i="2"/>
  <c r="P32" i="2"/>
  <c r="N31" i="2"/>
  <c r="E5" i="11"/>
  <c r="D8" i="11"/>
  <c r="N15" i="2"/>
  <c r="O15" i="2" s="1"/>
  <c r="P15" i="2" s="1"/>
  <c r="P21" i="2"/>
  <c r="N30" i="2"/>
  <c r="N11" i="2"/>
  <c r="O17" i="2"/>
  <c r="P17" i="2" s="1"/>
  <c r="P5" i="2"/>
  <c r="P22" i="2"/>
  <c r="H54" i="2"/>
  <c r="H55" i="2" s="1"/>
  <c r="H22" i="10" s="1"/>
  <c r="H13" i="8" s="1"/>
  <c r="H30" i="8" s="1"/>
  <c r="O40" i="2"/>
  <c r="P40" i="2" s="1"/>
  <c r="P39" i="2"/>
  <c r="P37" i="2"/>
  <c r="J51" i="4"/>
  <c r="I59" i="4"/>
  <c r="C41" i="2" s="1"/>
  <c r="G41" i="2" s="1"/>
  <c r="I58" i="4"/>
  <c r="H10" i="10"/>
  <c r="G8" i="14"/>
  <c r="J30" i="4"/>
  <c r="K32" i="4"/>
  <c r="K30" i="4" s="1"/>
  <c r="H71" i="9"/>
  <c r="I40" i="4"/>
  <c r="I38" i="4" s="1"/>
  <c r="H84" i="4"/>
  <c r="H85" i="4"/>
  <c r="H86" i="4"/>
  <c r="H76" i="4"/>
  <c r="H74" i="4"/>
  <c r="H75" i="4"/>
  <c r="H55" i="9"/>
  <c r="I22" i="4"/>
  <c r="I20" i="4" s="1"/>
  <c r="H18" i="4"/>
  <c r="J28" i="4"/>
  <c r="J26" i="4" s="1"/>
  <c r="I24" i="4"/>
  <c r="G69" i="4"/>
  <c r="G70" i="4"/>
  <c r="G47" i="9"/>
  <c r="G71" i="4"/>
  <c r="I63" i="9"/>
  <c r="I80" i="4"/>
  <c r="I81" i="4"/>
  <c r="I79" i="4"/>
  <c r="G78" i="4" l="1"/>
  <c r="G64" i="9" s="1"/>
  <c r="G65" i="9" s="1"/>
  <c r="L47" i="2"/>
  <c r="E9" i="14" s="1"/>
  <c r="F11" i="8" s="1"/>
  <c r="F26" i="8" s="1"/>
  <c r="F18" i="17"/>
  <c r="G23" i="17"/>
  <c r="H78" i="4"/>
  <c r="H64" i="9" s="1"/>
  <c r="H65" i="9" s="1"/>
  <c r="C9" i="11"/>
  <c r="C8" i="10" s="1"/>
  <c r="G73" i="4"/>
  <c r="G56" i="9" s="1"/>
  <c r="G57" i="9" s="1"/>
  <c r="E89" i="4"/>
  <c r="E95" i="4" s="1"/>
  <c r="P24" i="2"/>
  <c r="C4" i="14"/>
  <c r="D88" i="4"/>
  <c r="D80" i="9" s="1"/>
  <c r="D81" i="9" s="1"/>
  <c r="E90" i="4"/>
  <c r="E96" i="4" s="1"/>
  <c r="D104" i="4" s="1"/>
  <c r="D108" i="4" s="1"/>
  <c r="E79" i="9"/>
  <c r="D97" i="4"/>
  <c r="E46" i="4"/>
  <c r="E11" i="11" s="1"/>
  <c r="E6" i="10" s="1"/>
  <c r="E4" i="10" s="1"/>
  <c r="F44" i="4"/>
  <c r="F42" i="4" s="1"/>
  <c r="F68" i="4"/>
  <c r="F48" i="9" s="1"/>
  <c r="F49" i="9" s="1"/>
  <c r="D8" i="9"/>
  <c r="E97" i="4"/>
  <c r="E68" i="4"/>
  <c r="E48" i="9" s="1"/>
  <c r="E49" i="9" s="1"/>
  <c r="F73" i="4"/>
  <c r="F56" i="9" s="1"/>
  <c r="F57" i="9" s="1"/>
  <c r="E63" i="4"/>
  <c r="E40" i="9" s="1"/>
  <c r="E41" i="9" s="1"/>
  <c r="D93" i="4"/>
  <c r="C7" i="14" s="1"/>
  <c r="D6" i="9" s="1"/>
  <c r="F39" i="9"/>
  <c r="F66" i="4"/>
  <c r="F65" i="4"/>
  <c r="F64" i="4"/>
  <c r="H16" i="4"/>
  <c r="H14" i="4" s="1"/>
  <c r="G12" i="4"/>
  <c r="O30" i="2"/>
  <c r="P30" i="2" s="1"/>
  <c r="F5" i="11"/>
  <c r="E8" i="11"/>
  <c r="M46" i="2"/>
  <c r="M47" i="2" s="1"/>
  <c r="F9" i="14" s="1"/>
  <c r="N26" i="2"/>
  <c r="O31" i="2"/>
  <c r="P31" i="2" s="1"/>
  <c r="N45" i="2"/>
  <c r="O11" i="2"/>
  <c r="O45" i="2" s="1"/>
  <c r="E11" i="8"/>
  <c r="E26" i="8" s="1"/>
  <c r="E8" i="9"/>
  <c r="C17" i="9" s="1"/>
  <c r="F7" i="11"/>
  <c r="I78" i="4"/>
  <c r="I64" i="9" s="1"/>
  <c r="I65" i="9" s="1"/>
  <c r="P41" i="2"/>
  <c r="I54" i="2"/>
  <c r="I55" i="2" s="1"/>
  <c r="I22" i="10" s="1"/>
  <c r="I13" i="8" s="1"/>
  <c r="I30" i="8" s="1"/>
  <c r="J59" i="4"/>
  <c r="C42" i="2" s="1"/>
  <c r="G42" i="2" s="1"/>
  <c r="J54" i="2" s="1"/>
  <c r="J55" i="2" s="1"/>
  <c r="J22" i="10" s="1"/>
  <c r="J13" i="8" s="1"/>
  <c r="J30" i="8" s="1"/>
  <c r="K51" i="4"/>
  <c r="K58" i="4" s="1"/>
  <c r="J58" i="4"/>
  <c r="H6" i="11"/>
  <c r="I10" i="10"/>
  <c r="H8" i="14"/>
  <c r="H83" i="4"/>
  <c r="H72" i="9" s="1"/>
  <c r="H73" i="9" s="1"/>
  <c r="K26" i="4"/>
  <c r="K24" i="4" s="1"/>
  <c r="J24" i="4"/>
  <c r="I18" i="4"/>
  <c r="J22" i="4"/>
  <c r="J20" i="4" s="1"/>
  <c r="G68" i="4"/>
  <c r="G48" i="9" s="1"/>
  <c r="G49" i="9" s="1"/>
  <c r="I36" i="4"/>
  <c r="I75" i="4"/>
  <c r="I55" i="9"/>
  <c r="I74" i="4"/>
  <c r="I76" i="4"/>
  <c r="H70" i="4"/>
  <c r="H47" i="9"/>
  <c r="H71" i="4"/>
  <c r="H69" i="4"/>
  <c r="K81" i="4"/>
  <c r="K79" i="4"/>
  <c r="K80" i="4"/>
  <c r="H73" i="4"/>
  <c r="H56" i="9" s="1"/>
  <c r="H57" i="9" s="1"/>
  <c r="J81" i="4"/>
  <c r="J80" i="4"/>
  <c r="J63" i="9"/>
  <c r="J79" i="4"/>
  <c r="F8" i="9" l="1"/>
  <c r="E18" i="17"/>
  <c r="F23" i="17"/>
  <c r="E47" i="4"/>
  <c r="D109" i="4"/>
  <c r="D4" i="14"/>
  <c r="D5" i="9"/>
  <c r="D7" i="9" s="1"/>
  <c r="D10" i="9" s="1"/>
  <c r="D11" i="9" s="1"/>
  <c r="C6" i="14"/>
  <c r="C11" i="14" s="1"/>
  <c r="D10" i="8" s="1"/>
  <c r="E88" i="4"/>
  <c r="E80" i="9" s="1"/>
  <c r="E81" i="9" s="1"/>
  <c r="D9" i="9"/>
  <c r="D98" i="4"/>
  <c r="D100" i="4"/>
  <c r="C13" i="11" s="1"/>
  <c r="C11" i="10" s="1"/>
  <c r="C7" i="10" s="1"/>
  <c r="C13" i="10" s="1"/>
  <c r="F63" i="4"/>
  <c r="F40" i="9" s="1"/>
  <c r="F41" i="9" s="1"/>
  <c r="G39" i="9"/>
  <c r="G64" i="4"/>
  <c r="G66" i="4"/>
  <c r="G65" i="4"/>
  <c r="H12" i="4"/>
  <c r="I16" i="4"/>
  <c r="I14" i="4" s="1"/>
  <c r="P11" i="2"/>
  <c r="P45" i="2" s="1"/>
  <c r="G5" i="11"/>
  <c r="F8" i="11"/>
  <c r="O26" i="2"/>
  <c r="O46" i="2" s="1"/>
  <c r="O47" i="2" s="1"/>
  <c r="H9" i="14" s="1"/>
  <c r="I11" i="8" s="1"/>
  <c r="I26" i="8" s="1"/>
  <c r="N46" i="2"/>
  <c r="N47" i="2" s="1"/>
  <c r="G9" i="14" s="1"/>
  <c r="G11" i="8"/>
  <c r="G26" i="8" s="1"/>
  <c r="G8" i="9"/>
  <c r="G7" i="11"/>
  <c r="J10" i="10"/>
  <c r="I8" i="14"/>
  <c r="I6" i="11"/>
  <c r="J78" i="4"/>
  <c r="J64" i="9" s="1"/>
  <c r="J65" i="9" s="1"/>
  <c r="K20" i="4"/>
  <c r="K18" i="4" s="1"/>
  <c r="J18" i="4"/>
  <c r="K74" i="4"/>
  <c r="K76" i="4"/>
  <c r="K75" i="4"/>
  <c r="I73" i="4"/>
  <c r="I56" i="9" s="1"/>
  <c r="I57" i="9" s="1"/>
  <c r="E5" i="9"/>
  <c r="D6" i="14"/>
  <c r="J40" i="4"/>
  <c r="J38" i="4" s="1"/>
  <c r="I86" i="4"/>
  <c r="I85" i="4"/>
  <c r="I84" i="4"/>
  <c r="I71" i="9"/>
  <c r="D26" i="11"/>
  <c r="D9" i="10" s="1"/>
  <c r="I47" i="9"/>
  <c r="I71" i="4"/>
  <c r="I70" i="4"/>
  <c r="I69" i="4"/>
  <c r="H68" i="4"/>
  <c r="H48" i="9" s="1"/>
  <c r="H49" i="9" s="1"/>
  <c r="D102" i="4"/>
  <c r="D105" i="4"/>
  <c r="D10" i="11" s="1"/>
  <c r="D103" i="4"/>
  <c r="D106" i="4" s="1"/>
  <c r="F79" i="9"/>
  <c r="F91" i="4"/>
  <c r="F97" i="4" s="1"/>
  <c r="G44" i="4"/>
  <c r="F89" i="4"/>
  <c r="F90" i="4"/>
  <c r="F96" i="4" s="1"/>
  <c r="F46" i="4"/>
  <c r="K78" i="4"/>
  <c r="E93" i="4"/>
  <c r="J76" i="4"/>
  <c r="J55" i="9"/>
  <c r="J74" i="4"/>
  <c r="J75" i="4"/>
  <c r="D18" i="17" l="1"/>
  <c r="E23" i="17"/>
  <c r="C23" i="11"/>
  <c r="C39" i="11" s="1"/>
  <c r="D66" i="9"/>
  <c r="D67" i="9" s="1"/>
  <c r="D68" i="9" s="1"/>
  <c r="D82" i="9"/>
  <c r="D83" i="9" s="1"/>
  <c r="D84" i="9" s="1"/>
  <c r="D58" i="9"/>
  <c r="D59" i="9" s="1"/>
  <c r="D60" i="9" s="1"/>
  <c r="D42" i="9"/>
  <c r="D43" i="9" s="1"/>
  <c r="D44" i="9" s="1"/>
  <c r="D50" i="9"/>
  <c r="D51" i="9" s="1"/>
  <c r="D52" i="9" s="1"/>
  <c r="D74" i="9"/>
  <c r="D75" i="9" s="1"/>
  <c r="D76" i="9" s="1"/>
  <c r="C33" i="11"/>
  <c r="C12" i="8" s="1"/>
  <c r="C27" i="8" s="1"/>
  <c r="J16" i="4"/>
  <c r="J14" i="4" s="1"/>
  <c r="I12" i="4"/>
  <c r="G63" i="4"/>
  <c r="G40" i="9" s="1"/>
  <c r="G41" i="9" s="1"/>
  <c r="H39" i="9"/>
  <c r="H66" i="4"/>
  <c r="H64" i="4"/>
  <c r="H65" i="4"/>
  <c r="H7" i="11"/>
  <c r="I7" i="11" s="1"/>
  <c r="H11" i="8"/>
  <c r="H26" i="8" s="1"/>
  <c r="H8" i="9"/>
  <c r="I8" i="9"/>
  <c r="P26" i="2"/>
  <c r="P46" i="2" s="1"/>
  <c r="P47" i="2" s="1"/>
  <c r="I9" i="14" s="1"/>
  <c r="J11" i="8" s="1"/>
  <c r="J26" i="8" s="1"/>
  <c r="H5" i="11"/>
  <c r="G8" i="11"/>
  <c r="J6" i="11"/>
  <c r="I68" i="4"/>
  <c r="I48" i="9" s="1"/>
  <c r="I49" i="9" s="1"/>
  <c r="I83" i="4"/>
  <c r="I72" i="9" s="1"/>
  <c r="I73" i="9" s="1"/>
  <c r="F88" i="4"/>
  <c r="F95" i="4"/>
  <c r="D9" i="11"/>
  <c r="D107" i="4"/>
  <c r="J36" i="4"/>
  <c r="K38" i="4"/>
  <c r="K36" i="4" s="1"/>
  <c r="F11" i="11"/>
  <c r="F6" i="10" s="1"/>
  <c r="F4" i="10" s="1"/>
  <c r="F47" i="4"/>
  <c r="E4" i="14"/>
  <c r="J69" i="4"/>
  <c r="J47" i="9"/>
  <c r="J71" i="4"/>
  <c r="J70" i="4"/>
  <c r="G42" i="4"/>
  <c r="J73" i="4"/>
  <c r="J56" i="9" s="1"/>
  <c r="J57" i="9" s="1"/>
  <c r="E100" i="4"/>
  <c r="D13" i="11" s="1"/>
  <c r="D11" i="10" s="1"/>
  <c r="E98" i="4"/>
  <c r="D7" i="14"/>
  <c r="E6" i="9" s="1"/>
  <c r="E9" i="9" s="1"/>
  <c r="C18" i="9" s="1"/>
  <c r="E104" i="4"/>
  <c r="E108" i="4" s="1"/>
  <c r="E109" i="4" s="1"/>
  <c r="E58" i="9"/>
  <c r="E59" i="9" s="1"/>
  <c r="E60" i="9" s="1"/>
  <c r="E74" i="9"/>
  <c r="E75" i="9" s="1"/>
  <c r="E76" i="9" s="1"/>
  <c r="C16" i="9"/>
  <c r="E66" i="9"/>
  <c r="E67" i="9" s="1"/>
  <c r="E68" i="9" s="1"/>
  <c r="E50" i="9"/>
  <c r="E51" i="9" s="1"/>
  <c r="E52" i="9" s="1"/>
  <c r="E42" i="9"/>
  <c r="E43" i="9" s="1"/>
  <c r="E44" i="9" s="1"/>
  <c r="E82" i="9"/>
  <c r="E83" i="9" s="1"/>
  <c r="E84" i="9" s="1"/>
  <c r="K73" i="4"/>
  <c r="K69" i="4"/>
  <c r="K70" i="4"/>
  <c r="K71" i="4"/>
  <c r="C18" i="17" l="1"/>
  <c r="D23" i="17"/>
  <c r="C15" i="8"/>
  <c r="C31" i="11"/>
  <c r="C18" i="10"/>
  <c r="C28" i="8" s="1"/>
  <c r="C32" i="8" s="1"/>
  <c r="C24" i="11"/>
  <c r="C18" i="11" s="1"/>
  <c r="C16" i="10" s="1"/>
  <c r="C13" i="14"/>
  <c r="D26" i="10" s="1"/>
  <c r="H63" i="4"/>
  <c r="H40" i="9" s="1"/>
  <c r="H41" i="9" s="1"/>
  <c r="I64" i="4"/>
  <c r="I39" i="9"/>
  <c r="I65" i="4"/>
  <c r="I66" i="4"/>
  <c r="K14" i="4"/>
  <c r="K12" i="4" s="1"/>
  <c r="J12" i="4"/>
  <c r="J8" i="9"/>
  <c r="I5" i="11"/>
  <c r="H8" i="11"/>
  <c r="J7" i="11"/>
  <c r="E7" i="9"/>
  <c r="E10" i="9" s="1"/>
  <c r="E11" i="9" s="1"/>
  <c r="D11" i="14"/>
  <c r="E10" i="8" s="1"/>
  <c r="K68" i="4"/>
  <c r="G79" i="9"/>
  <c r="G90" i="4"/>
  <c r="G96" i="4" s="1"/>
  <c r="G91" i="4"/>
  <c r="G97" i="4" s="1"/>
  <c r="H44" i="4"/>
  <c r="G89" i="4"/>
  <c r="G46" i="4"/>
  <c r="J85" i="4"/>
  <c r="J86" i="4"/>
  <c r="J71" i="9"/>
  <c r="J84" i="4"/>
  <c r="E102" i="4"/>
  <c r="E103" i="4"/>
  <c r="E106" i="4" s="1"/>
  <c r="E105" i="4"/>
  <c r="E10" i="11" s="1"/>
  <c r="J68" i="4"/>
  <c r="J48" i="9" s="1"/>
  <c r="J49" i="9" s="1"/>
  <c r="D25" i="11"/>
  <c r="F80" i="9"/>
  <c r="F81" i="9" s="1"/>
  <c r="F93" i="4"/>
  <c r="E26" i="11"/>
  <c r="E9" i="10" s="1"/>
  <c r="E6" i="14"/>
  <c r="F5" i="9"/>
  <c r="K84" i="4"/>
  <c r="K85" i="4"/>
  <c r="K86" i="4"/>
  <c r="C16" i="8" l="1"/>
  <c r="C3" i="17"/>
  <c r="C23" i="17"/>
  <c r="C15" i="10"/>
  <c r="C27" i="10" s="1"/>
  <c r="C29" i="10" s="1"/>
  <c r="C30" i="10" s="1"/>
  <c r="C22" i="11"/>
  <c r="C29" i="11" s="1"/>
  <c r="C14" i="11" s="1"/>
  <c r="C12" i="14" s="1"/>
  <c r="C38" i="11"/>
  <c r="J39" i="9"/>
  <c r="J65" i="4"/>
  <c r="J64" i="4"/>
  <c r="J66" i="4"/>
  <c r="K64" i="4"/>
  <c r="K66" i="4"/>
  <c r="K65" i="4"/>
  <c r="I63" i="4"/>
  <c r="I40" i="9" s="1"/>
  <c r="I41" i="9" s="1"/>
  <c r="J5" i="11"/>
  <c r="J8" i="11" s="1"/>
  <c r="I8" i="11"/>
  <c r="K83" i="4"/>
  <c r="F74" i="9"/>
  <c r="F75" i="9" s="1"/>
  <c r="F76" i="9" s="1"/>
  <c r="F66" i="9"/>
  <c r="F67" i="9" s="1"/>
  <c r="F68" i="9" s="1"/>
  <c r="F58" i="9"/>
  <c r="F59" i="9" s="1"/>
  <c r="F60" i="9" s="1"/>
  <c r="F50" i="9"/>
  <c r="F51" i="9" s="1"/>
  <c r="F52" i="9" s="1"/>
  <c r="F42" i="9"/>
  <c r="F43" i="9" s="1"/>
  <c r="F44" i="9" s="1"/>
  <c r="F82" i="9"/>
  <c r="F83" i="9" s="1"/>
  <c r="F84" i="9" s="1"/>
  <c r="F100" i="4"/>
  <c r="E13" i="11" s="1"/>
  <c r="E11" i="10" s="1"/>
  <c r="E7" i="14"/>
  <c r="F6" i="9" s="1"/>
  <c r="F9" i="9" s="1"/>
  <c r="F98" i="4"/>
  <c r="J83" i="4"/>
  <c r="J72" i="9" s="1"/>
  <c r="J73" i="9" s="1"/>
  <c r="H42" i="4"/>
  <c r="E9" i="11"/>
  <c r="E107" i="4"/>
  <c r="G11" i="11"/>
  <c r="G6" i="10" s="1"/>
  <c r="G4" i="10" s="1"/>
  <c r="G47" i="4"/>
  <c r="F4" i="14"/>
  <c r="F104" i="4"/>
  <c r="F108" i="4" s="1"/>
  <c r="F109" i="4" s="1"/>
  <c r="D8" i="10"/>
  <c r="D7" i="10" s="1"/>
  <c r="D13" i="10" s="1"/>
  <c r="G88" i="4"/>
  <c r="G95" i="4"/>
  <c r="C15" i="11" l="1"/>
  <c r="C16" i="11" s="1"/>
  <c r="C32" i="11" s="1"/>
  <c r="C31" i="10"/>
  <c r="C32" i="10" s="1"/>
  <c r="J63" i="4"/>
  <c r="J40" i="9" s="1"/>
  <c r="J41" i="9" s="1"/>
  <c r="K63" i="4"/>
  <c r="E11" i="14"/>
  <c r="F10" i="8" s="1"/>
  <c r="F26" i="11"/>
  <c r="F9" i="10" s="1"/>
  <c r="F103" i="4"/>
  <c r="F106" i="4" s="1"/>
  <c r="F105" i="4"/>
  <c r="F10" i="11" s="1"/>
  <c r="F102" i="4"/>
  <c r="D20" i="10"/>
  <c r="C14" i="14"/>
  <c r="F6" i="14"/>
  <c r="G5" i="9"/>
  <c r="H91" i="4"/>
  <c r="H97" i="4" s="1"/>
  <c r="H89" i="4"/>
  <c r="H79" i="9"/>
  <c r="H90" i="4"/>
  <c r="H96" i="4" s="1"/>
  <c r="I44" i="4"/>
  <c r="H46" i="4"/>
  <c r="G80" i="9"/>
  <c r="G81" i="9" s="1"/>
  <c r="G93" i="4"/>
  <c r="E25" i="11"/>
  <c r="F7" i="9"/>
  <c r="F10" i="9" s="1"/>
  <c r="F11" i="9" s="1"/>
  <c r="F7" i="14" l="1"/>
  <c r="G6" i="9" s="1"/>
  <c r="G9" i="9" s="1"/>
  <c r="G100" i="4"/>
  <c r="F13" i="11" s="1"/>
  <c r="F11" i="10" s="1"/>
  <c r="G98" i="4"/>
  <c r="G104" i="4"/>
  <c r="G108" i="4" s="1"/>
  <c r="G109" i="4" s="1"/>
  <c r="G66" i="9"/>
  <c r="G67" i="9" s="1"/>
  <c r="G68" i="9" s="1"/>
  <c r="G74" i="9"/>
  <c r="G75" i="9" s="1"/>
  <c r="G76" i="9" s="1"/>
  <c r="G58" i="9"/>
  <c r="G59" i="9" s="1"/>
  <c r="G60" i="9" s="1"/>
  <c r="G42" i="9"/>
  <c r="G43" i="9" s="1"/>
  <c r="G44" i="9" s="1"/>
  <c r="G50" i="9"/>
  <c r="G51" i="9" s="1"/>
  <c r="G52" i="9" s="1"/>
  <c r="G82" i="9"/>
  <c r="G83" i="9" s="1"/>
  <c r="G84" i="9" s="1"/>
  <c r="F9" i="11"/>
  <c r="F107" i="4"/>
  <c r="G4" i="14"/>
  <c r="H47" i="4"/>
  <c r="H11" i="11"/>
  <c r="H6" i="10" s="1"/>
  <c r="H4" i="10" s="1"/>
  <c r="H88" i="4"/>
  <c r="H95" i="4"/>
  <c r="C19" i="14"/>
  <c r="E8" i="10"/>
  <c r="I42" i="4"/>
  <c r="G7" i="9" l="1"/>
  <c r="G10" i="9" s="1"/>
  <c r="G11" i="9" s="1"/>
  <c r="F11" i="14"/>
  <c r="G10" i="8" s="1"/>
  <c r="C15" i="14"/>
  <c r="I89" i="4"/>
  <c r="J44" i="4"/>
  <c r="I91" i="4"/>
  <c r="I97" i="4" s="1"/>
  <c r="I79" i="9"/>
  <c r="I90" i="4"/>
  <c r="I96" i="4" s="1"/>
  <c r="I46" i="4"/>
  <c r="G103" i="4"/>
  <c r="G106" i="4" s="1"/>
  <c r="G102" i="4"/>
  <c r="G105" i="4"/>
  <c r="G10" i="11" s="1"/>
  <c r="H80" i="9"/>
  <c r="H81" i="9" s="1"/>
  <c r="H93" i="4"/>
  <c r="H5" i="9"/>
  <c r="G6" i="14"/>
  <c r="F25" i="11"/>
  <c r="F8" i="10" s="1"/>
  <c r="G26" i="11"/>
  <c r="G9" i="10" s="1"/>
  <c r="H98" i="4" l="1"/>
  <c r="G7" i="14"/>
  <c r="H6" i="9" s="1"/>
  <c r="H9" i="9" s="1"/>
  <c r="H100" i="4"/>
  <c r="G13" i="11" s="1"/>
  <c r="G11" i="10" s="1"/>
  <c r="G9" i="11"/>
  <c r="G107" i="4"/>
  <c r="H4" i="14"/>
  <c r="I47" i="4"/>
  <c r="I11" i="11"/>
  <c r="I6" i="10" s="1"/>
  <c r="I4" i="10" s="1"/>
  <c r="K42" i="4"/>
  <c r="J42" i="4"/>
  <c r="D27" i="11"/>
  <c r="D28" i="11" s="1"/>
  <c r="E12" i="10"/>
  <c r="E7" i="10" s="1"/>
  <c r="E13" i="10" s="1"/>
  <c r="C16" i="14"/>
  <c r="H66" i="9"/>
  <c r="H67" i="9" s="1"/>
  <c r="H68" i="9" s="1"/>
  <c r="H58" i="9"/>
  <c r="H59" i="9" s="1"/>
  <c r="H60" i="9" s="1"/>
  <c r="H74" i="9"/>
  <c r="H75" i="9" s="1"/>
  <c r="H76" i="9" s="1"/>
  <c r="H42" i="9"/>
  <c r="H43" i="9" s="1"/>
  <c r="H44" i="9" s="1"/>
  <c r="H50" i="9"/>
  <c r="H51" i="9" s="1"/>
  <c r="H52" i="9" s="1"/>
  <c r="H82" i="9"/>
  <c r="H83" i="9" s="1"/>
  <c r="H84" i="9" s="1"/>
  <c r="H104" i="4"/>
  <c r="H108" i="4" s="1"/>
  <c r="H109" i="4" s="1"/>
  <c r="I88" i="4"/>
  <c r="I95" i="4"/>
  <c r="G11" i="14" l="1"/>
  <c r="H10" i="8" s="1"/>
  <c r="H26" i="11"/>
  <c r="H9" i="10" s="1"/>
  <c r="D33" i="11"/>
  <c r="D12" i="8" s="1"/>
  <c r="G25" i="11"/>
  <c r="G8" i="10" s="1"/>
  <c r="H102" i="4"/>
  <c r="H103" i="4"/>
  <c r="H106" i="4" s="1"/>
  <c r="H105" i="4"/>
  <c r="H10" i="11" s="1"/>
  <c r="I80" i="9"/>
  <c r="I81" i="9" s="1"/>
  <c r="I93" i="4"/>
  <c r="J90" i="4"/>
  <c r="J96" i="4" s="1"/>
  <c r="J91" i="4"/>
  <c r="J97" i="4" s="1"/>
  <c r="J79" i="9"/>
  <c r="J89" i="4"/>
  <c r="J46" i="4"/>
  <c r="I5" i="9"/>
  <c r="H6" i="14"/>
  <c r="H7" i="9"/>
  <c r="H10" i="9" s="1"/>
  <c r="H11" i="9" s="1"/>
  <c r="D25" i="8"/>
  <c r="D20" i="11"/>
  <c r="D18" i="14"/>
  <c r="E25" i="10" s="1"/>
  <c r="K90" i="4"/>
  <c r="K96" i="4" s="1"/>
  <c r="J104" i="4" s="1"/>
  <c r="K91" i="4"/>
  <c r="K97" i="4" s="1"/>
  <c r="K89" i="4"/>
  <c r="K46" i="4"/>
  <c r="J88" i="4" l="1"/>
  <c r="J95" i="4"/>
  <c r="I98" i="4"/>
  <c r="I100" i="4"/>
  <c r="H13" i="11" s="1"/>
  <c r="H11" i="10" s="1"/>
  <c r="H7" i="14"/>
  <c r="I6" i="9" s="1"/>
  <c r="I9" i="9" s="1"/>
  <c r="H107" i="4"/>
  <c r="H9" i="11"/>
  <c r="D27" i="8"/>
  <c r="D15" i="8"/>
  <c r="K88" i="4"/>
  <c r="K93" i="4" s="1"/>
  <c r="K95" i="4"/>
  <c r="E19" i="11"/>
  <c r="D23" i="11"/>
  <c r="I66" i="9"/>
  <c r="I67" i="9" s="1"/>
  <c r="I68" i="9" s="1"/>
  <c r="I58" i="9"/>
  <c r="I59" i="9" s="1"/>
  <c r="I60" i="9" s="1"/>
  <c r="I50" i="9"/>
  <c r="I51" i="9" s="1"/>
  <c r="I52" i="9" s="1"/>
  <c r="I74" i="9"/>
  <c r="I75" i="9" s="1"/>
  <c r="I76" i="9" s="1"/>
  <c r="I42" i="9"/>
  <c r="I43" i="9" s="1"/>
  <c r="I44" i="9" s="1"/>
  <c r="I82" i="9"/>
  <c r="I83" i="9" s="1"/>
  <c r="I84" i="9" s="1"/>
  <c r="J47" i="4"/>
  <c r="J11" i="11"/>
  <c r="J6" i="10" s="1"/>
  <c r="J4" i="10" s="1"/>
  <c r="I4" i="14"/>
  <c r="I104" i="4"/>
  <c r="I108" i="4" s="1"/>
  <c r="I109" i="4" s="1"/>
  <c r="I7" i="9" l="1"/>
  <c r="I10" i="9" s="1"/>
  <c r="I11" i="9" s="1"/>
  <c r="H11" i="14"/>
  <c r="I10" i="8" s="1"/>
  <c r="J5" i="9"/>
  <c r="I6" i="14"/>
  <c r="D18" i="10"/>
  <c r="D31" i="11"/>
  <c r="D13" i="14"/>
  <c r="E26" i="10" s="1"/>
  <c r="D24" i="11"/>
  <c r="D18" i="11" s="1"/>
  <c r="D39" i="11"/>
  <c r="D24" i="10"/>
  <c r="D16" i="8"/>
  <c r="J105" i="4"/>
  <c r="J10" i="11" s="1"/>
  <c r="J102" i="4"/>
  <c r="J103" i="4"/>
  <c r="I105" i="4"/>
  <c r="I10" i="11" s="1"/>
  <c r="I102" i="4"/>
  <c r="I103" i="4"/>
  <c r="I106" i="4" s="1"/>
  <c r="I26" i="11"/>
  <c r="I9" i="10" s="1"/>
  <c r="J108" i="4"/>
  <c r="J109" i="4" s="1"/>
  <c r="K100" i="4"/>
  <c r="J13" i="11" s="1"/>
  <c r="K98" i="4"/>
  <c r="H25" i="11"/>
  <c r="H8" i="10" s="1"/>
  <c r="J80" i="9"/>
  <c r="J81" i="9" s="1"/>
  <c r="J93" i="4"/>
  <c r="J106" i="4" l="1"/>
  <c r="J107" i="4" s="1"/>
  <c r="I107" i="4"/>
  <c r="I9" i="11"/>
  <c r="J98" i="4"/>
  <c r="I7" i="14"/>
  <c r="J6" i="9" s="1"/>
  <c r="J9" i="9" s="1"/>
  <c r="J100" i="4"/>
  <c r="I13" i="11" s="1"/>
  <c r="I11" i="10" s="1"/>
  <c r="J9" i="11"/>
  <c r="D28" i="8"/>
  <c r="D32" i="8" s="1"/>
  <c r="D21" i="10"/>
  <c r="J66" i="9"/>
  <c r="J67" i="9" s="1"/>
  <c r="J68" i="9" s="1"/>
  <c r="J58" i="9"/>
  <c r="J59" i="9" s="1"/>
  <c r="J60" i="9" s="1"/>
  <c r="J50" i="9"/>
  <c r="J51" i="9" s="1"/>
  <c r="J52" i="9" s="1"/>
  <c r="J42" i="9"/>
  <c r="J43" i="9" s="1"/>
  <c r="J44" i="9" s="1"/>
  <c r="J74" i="9"/>
  <c r="J75" i="9" s="1"/>
  <c r="J76" i="9" s="1"/>
  <c r="J82" i="9"/>
  <c r="J83" i="9" s="1"/>
  <c r="J84" i="9" s="1"/>
  <c r="J26" i="11"/>
  <c r="J9" i="10" s="1"/>
  <c r="D16" i="10"/>
  <c r="D15" i="10" s="1"/>
  <c r="D22" i="11"/>
  <c r="D29" i="11" s="1"/>
  <c r="D14" i="11" s="1"/>
  <c r="D38" i="11"/>
  <c r="J11" i="10" l="1"/>
  <c r="J7" i="9"/>
  <c r="J10" i="9" s="1"/>
  <c r="J11" i="9" s="1"/>
  <c r="I11" i="14"/>
  <c r="J10" i="8" s="1"/>
  <c r="D27" i="10"/>
  <c r="D29" i="10" s="1"/>
  <c r="D30" i="10" s="1"/>
  <c r="J25" i="11"/>
  <c r="I25" i="11"/>
  <c r="D31" i="10"/>
  <c r="D12" i="14"/>
  <c r="D15" i="11"/>
  <c r="D16" i="11" s="1"/>
  <c r="D32" i="11" s="1"/>
  <c r="D32" i="10" l="1"/>
  <c r="J8" i="10"/>
  <c r="I8" i="10"/>
  <c r="E20" i="10"/>
  <c r="D14" i="14"/>
  <c r="J14" i="8"/>
  <c r="D19" i="14" l="1"/>
  <c r="D15" i="14" l="1"/>
  <c r="F12" i="10" l="1"/>
  <c r="F7" i="10" s="1"/>
  <c r="F13" i="10" s="1"/>
  <c r="E27" i="11"/>
  <c r="E28" i="11" s="1"/>
  <c r="D16" i="14"/>
  <c r="E25" i="8" l="1"/>
  <c r="E20" i="11"/>
  <c r="E18" i="14"/>
  <c r="F25" i="10" s="1"/>
  <c r="E33" i="11"/>
  <c r="E12" i="8" s="1"/>
  <c r="F19" i="11" l="1"/>
  <c r="E23" i="11"/>
  <c r="E27" i="8"/>
  <c r="E15" i="8"/>
  <c r="E24" i="11" l="1"/>
  <c r="E18" i="11" s="1"/>
  <c r="E39" i="11"/>
  <c r="E18" i="10"/>
  <c r="E13" i="14"/>
  <c r="F26" i="10" s="1"/>
  <c r="E31" i="11"/>
  <c r="E24" i="10"/>
  <c r="E16" i="8"/>
  <c r="E21" i="10" l="1"/>
  <c r="E28" i="8"/>
  <c r="E32" i="8" s="1"/>
  <c r="E16" i="10"/>
  <c r="E15" i="10" s="1"/>
  <c r="E22" i="11"/>
  <c r="E29" i="11" s="1"/>
  <c r="E14" i="11" s="1"/>
  <c r="E38" i="11"/>
  <c r="E27" i="10" l="1"/>
  <c r="E29" i="10" s="1"/>
  <c r="E30" i="10" s="1"/>
  <c r="E31" i="10"/>
  <c r="E12" i="14"/>
  <c r="E15" i="11"/>
  <c r="E16" i="11" s="1"/>
  <c r="E32" i="11" s="1"/>
  <c r="E32" i="10" l="1"/>
  <c r="F20" i="10"/>
  <c r="E14" i="14"/>
  <c r="E19" i="14" l="1"/>
  <c r="E15" i="14" l="1"/>
  <c r="F27" i="11" l="1"/>
  <c r="F28" i="11" s="1"/>
  <c r="G12" i="10"/>
  <c r="G7" i="10" s="1"/>
  <c r="G13" i="10" s="1"/>
  <c r="E16" i="14"/>
  <c r="F25" i="8" l="1"/>
  <c r="F20" i="11"/>
  <c r="F18" i="14"/>
  <c r="G25" i="10" s="1"/>
  <c r="F33" i="11"/>
  <c r="F12" i="8" s="1"/>
  <c r="G19" i="11" l="1"/>
  <c r="F23" i="11"/>
  <c r="F27" i="8"/>
  <c r="F15" i="8"/>
  <c r="F16" i="8" l="1"/>
  <c r="F13" i="14"/>
  <c r="G26" i="10" s="1"/>
  <c r="F24" i="11"/>
  <c r="F18" i="11" s="1"/>
  <c r="F39" i="11"/>
  <c r="F18" i="10"/>
  <c r="F31" i="11"/>
  <c r="F24" i="10"/>
  <c r="F16" i="10" l="1"/>
  <c r="F15" i="10" s="1"/>
  <c r="F38" i="11"/>
  <c r="F22" i="11"/>
  <c r="F29" i="11" s="1"/>
  <c r="F14" i="11" s="1"/>
  <c r="F21" i="10"/>
  <c r="F28" i="8"/>
  <c r="F32" i="8" s="1"/>
  <c r="F12" i="14" l="1"/>
  <c r="F31" i="10"/>
  <c r="F15" i="11"/>
  <c r="F16" i="11" s="1"/>
  <c r="F32" i="11" s="1"/>
  <c r="F27" i="10"/>
  <c r="F29" i="10" s="1"/>
  <c r="F30" i="10" s="1"/>
  <c r="F32" i="10" l="1"/>
  <c r="G20" i="10"/>
  <c r="F14" i="14"/>
  <c r="F19" i="14" l="1"/>
  <c r="F15" i="14" l="1"/>
  <c r="H12" i="10" l="1"/>
  <c r="H7" i="10" s="1"/>
  <c r="H13" i="10" s="1"/>
  <c r="G27" i="11"/>
  <c r="G28" i="11" s="1"/>
  <c r="F16" i="14"/>
  <c r="G33" i="11" l="1"/>
  <c r="G12" i="8" s="1"/>
  <c r="G20" i="11"/>
  <c r="G25" i="8"/>
  <c r="G18" i="14"/>
  <c r="H25" i="10" s="1"/>
  <c r="H19" i="11" l="1"/>
  <c r="G23" i="11"/>
  <c r="G27" i="8"/>
  <c r="G15" i="8"/>
  <c r="G24" i="11" l="1"/>
  <c r="G18" i="11" s="1"/>
  <c r="G31" i="11"/>
  <c r="G13" i="14"/>
  <c r="H26" i="10" s="1"/>
  <c r="G18" i="10"/>
  <c r="G39" i="11"/>
  <c r="G24" i="10"/>
  <c r="G16" i="8"/>
  <c r="G22" i="11" l="1"/>
  <c r="G29" i="11" s="1"/>
  <c r="G14" i="11" s="1"/>
  <c r="G16" i="10"/>
  <c r="G15" i="10" s="1"/>
  <c r="G38" i="11"/>
  <c r="G28" i="8"/>
  <c r="G32" i="8" s="1"/>
  <c r="G21" i="10"/>
  <c r="G27" i="10" l="1"/>
  <c r="G29" i="10" s="1"/>
  <c r="G30" i="10" s="1"/>
  <c r="G31" i="10"/>
  <c r="G12" i="14"/>
  <c r="G15" i="11"/>
  <c r="G16" i="11" s="1"/>
  <c r="G32" i="11" s="1"/>
  <c r="H20" i="10" l="1"/>
  <c r="G14" i="14"/>
  <c r="G32" i="10"/>
  <c r="G19" i="14" l="1"/>
  <c r="G15" i="14" l="1"/>
  <c r="H27" i="11" l="1"/>
  <c r="H28" i="11" s="1"/>
  <c r="I12" i="10"/>
  <c r="I7" i="10" s="1"/>
  <c r="I13" i="10" s="1"/>
  <c r="G16" i="14"/>
  <c r="H25" i="8" l="1"/>
  <c r="H20" i="11"/>
  <c r="H18" i="14"/>
  <c r="I25" i="10" s="1"/>
  <c r="H33" i="11"/>
  <c r="H12" i="8" s="1"/>
  <c r="I19" i="11" l="1"/>
  <c r="H23" i="11"/>
  <c r="H27" i="8"/>
  <c r="H15" i="8"/>
  <c r="H24" i="11" l="1"/>
  <c r="H18" i="11" s="1"/>
  <c r="H39" i="11"/>
  <c r="H18" i="10"/>
  <c r="H13" i="14"/>
  <c r="I26" i="10" s="1"/>
  <c r="H31" i="11"/>
  <c r="H24" i="10"/>
  <c r="H16" i="8"/>
  <c r="H21" i="10" l="1"/>
  <c r="H28" i="8"/>
  <c r="H32" i="8" s="1"/>
  <c r="H38" i="11"/>
  <c r="H22" i="11"/>
  <c r="H29" i="11" s="1"/>
  <c r="H14" i="11" s="1"/>
  <c r="H16" i="10"/>
  <c r="H15" i="10" s="1"/>
  <c r="H27" i="10" l="1"/>
  <c r="H29" i="10" s="1"/>
  <c r="H30" i="10" s="1"/>
  <c r="H12" i="14"/>
  <c r="H31" i="10"/>
  <c r="H15" i="11"/>
  <c r="H16" i="11" s="1"/>
  <c r="H32" i="11" s="1"/>
  <c r="H32" i="10" l="1"/>
  <c r="I20" i="10"/>
  <c r="H14" i="14"/>
  <c r="H19" i="14" l="1"/>
  <c r="H15" i="14" l="1"/>
  <c r="I27" i="11" l="1"/>
  <c r="I28" i="11" s="1"/>
  <c r="J12" i="10"/>
  <c r="J7" i="10" s="1"/>
  <c r="J13" i="10" s="1"/>
  <c r="H16" i="14"/>
  <c r="I25" i="8" l="1"/>
  <c r="I20" i="11"/>
  <c r="I18" i="14"/>
  <c r="J25" i="10" s="1"/>
  <c r="I33" i="11"/>
  <c r="I12" i="8" s="1"/>
  <c r="J19" i="11" l="1"/>
  <c r="I23" i="11"/>
  <c r="I27" i="8"/>
  <c r="I15" i="8"/>
  <c r="I16" i="8" l="1"/>
  <c r="I39" i="11"/>
  <c r="I18" i="10"/>
  <c r="I31" i="11"/>
  <c r="I13" i="14"/>
  <c r="J26" i="10" s="1"/>
  <c r="I24" i="11"/>
  <c r="I18" i="11" s="1"/>
  <c r="I24" i="10"/>
  <c r="I21" i="10" l="1"/>
  <c r="I28" i="8"/>
  <c r="I32" i="8" s="1"/>
  <c r="I22" i="11"/>
  <c r="I29" i="11" s="1"/>
  <c r="I14" i="11" s="1"/>
  <c r="I38" i="11"/>
  <c r="I16" i="10"/>
  <c r="I15" i="10" s="1"/>
  <c r="I27" i="10" l="1"/>
  <c r="I29" i="10" s="1"/>
  <c r="I30" i="10" s="1"/>
  <c r="I31" i="10"/>
  <c r="I12" i="14"/>
  <c r="I15" i="11"/>
  <c r="I16" i="11" s="1"/>
  <c r="I32" i="11" s="1"/>
  <c r="I32" i="10" l="1"/>
  <c r="J20" i="10"/>
  <c r="I14" i="14"/>
  <c r="I19" i="14" l="1"/>
  <c r="I15" i="14" s="1"/>
  <c r="J27" i="11" s="1"/>
  <c r="J28" i="11" s="1"/>
  <c r="J33" i="11" l="1"/>
  <c r="J12" i="8" s="1"/>
  <c r="I16" i="14"/>
  <c r="J27" i="8" l="1"/>
  <c r="J15" i="8"/>
  <c r="G19" i="8" s="1"/>
  <c r="J20" i="11"/>
  <c r="J23" i="11" s="1"/>
  <c r="J25" i="8"/>
  <c r="J24" i="11" l="1"/>
  <c r="J18" i="11" s="1"/>
  <c r="J31" i="11"/>
  <c r="J18" i="10"/>
  <c r="J39" i="11"/>
  <c r="J24" i="10"/>
  <c r="J16" i="8"/>
  <c r="C19" i="8"/>
  <c r="C20" i="8"/>
  <c r="C18" i="8" l="1"/>
  <c r="C4" i="17" s="1"/>
  <c r="G20" i="8"/>
  <c r="D17" i="15" s="1"/>
  <c r="J28" i="8"/>
  <c r="J21" i="10"/>
  <c r="J22" i="11"/>
  <c r="J29" i="11" s="1"/>
  <c r="J14" i="11" s="1"/>
  <c r="J38" i="11"/>
  <c r="J16" i="10"/>
  <c r="J15" i="10" s="1"/>
  <c r="D16" i="15"/>
  <c r="E1" i="1"/>
  <c r="H13" i="18" l="1"/>
  <c r="J40" i="17"/>
  <c r="J27" i="10"/>
  <c r="J29" i="10" s="1"/>
  <c r="J30" i="10" s="1"/>
  <c r="J31" i="10"/>
  <c r="J15" i="11"/>
  <c r="J16" i="11" s="1"/>
  <c r="J32" i="11" s="1"/>
  <c r="J31" i="8"/>
  <c r="J32" i="8" s="1"/>
  <c r="C33" i="8" s="1"/>
  <c r="D18" i="15" s="1"/>
  <c r="C36" i="8"/>
  <c r="D15" i="15"/>
  <c r="H44" i="15" s="1"/>
  <c r="G18" i="8"/>
  <c r="I46" i="15" l="1"/>
  <c r="I47" i="15"/>
  <c r="I44" i="15"/>
  <c r="J44" i="15" s="1"/>
  <c r="I45" i="15"/>
  <c r="I42" i="15"/>
  <c r="I43" i="15"/>
  <c r="H46" i="15"/>
  <c r="H47" i="15"/>
  <c r="H43" i="15"/>
  <c r="H45" i="15"/>
  <c r="H42" i="15"/>
  <c r="J32" i="10"/>
  <c r="B33" i="10" s="1"/>
  <c r="C1" i="1" s="1"/>
  <c r="B53" i="15"/>
  <c r="B45" i="15"/>
  <c r="B49" i="15"/>
  <c r="B47" i="15"/>
  <c r="B51" i="15"/>
  <c r="B43" i="15"/>
  <c r="J46" i="15" l="1"/>
  <c r="J47" i="15"/>
  <c r="J45" i="15"/>
  <c r="J42" i="15"/>
  <c r="J43" i="15"/>
  <c r="K42" i="15" l="1"/>
  <c r="K43" i="15"/>
  <c r="K46" i="15"/>
  <c r="K45" i="15"/>
  <c r="K47" i="15"/>
  <c r="K44" i="15"/>
  <c r="G51" i="15" l="1"/>
  <c r="G55" i="15"/>
  <c r="G52" i="15"/>
  <c r="G56" i="15"/>
  <c r="G53" i="15"/>
  <c r="G54" i="15"/>
  <c r="I51" i="15"/>
  <c r="I53" i="15"/>
  <c r="I55" i="15"/>
  <c r="J51" i="15"/>
  <c r="J53" i="15"/>
  <c r="J55" i="15"/>
  <c r="I52" i="15"/>
  <c r="I54" i="15"/>
  <c r="I56" i="15"/>
  <c r="J52" i="15"/>
  <c r="J54" i="15"/>
  <c r="J56" i="15"/>
  <c r="H55" i="15"/>
  <c r="H56" i="15"/>
  <c r="H54" i="15"/>
  <c r="H53" i="15"/>
  <c r="H52" i="15"/>
  <c r="H51" i="15"/>
  <c r="H12" i="18" l="1"/>
  <c r="I19" i="17"/>
  <c r="H35" i="18" l="1"/>
  <c r="F24" i="18"/>
  <c r="C5" i="17" l="1"/>
  <c r="I20" i="17" s="1"/>
  <c r="I21" i="17" s="1"/>
  <c r="I23" i="17" s="1"/>
  <c r="I24" i="17" l="1"/>
  <c r="H24" i="17"/>
  <c r="G13" i="18" s="1"/>
  <c r="D23" i="18" s="1"/>
  <c r="G24" i="17"/>
  <c r="F24" i="17"/>
  <c r="F13" i="18" s="1"/>
  <c r="D22" i="18" s="1"/>
  <c r="E24" i="17"/>
  <c r="D24" i="17"/>
  <c r="E13" i="18" s="1"/>
  <c r="D21" i="18" s="1"/>
  <c r="C24" i="17"/>
  <c r="D13" i="18" s="1"/>
  <c r="D20" i="18" s="1"/>
  <c r="G22" i="18" l="1"/>
  <c r="E22" i="18"/>
  <c r="C44" i="18"/>
  <c r="E20" i="18"/>
  <c r="C42" i="18"/>
  <c r="F42" i="18" s="1"/>
  <c r="G20" i="18"/>
  <c r="D42" i="18" s="1"/>
  <c r="G21" i="18"/>
  <c r="C43" i="18"/>
  <c r="E21" i="18"/>
  <c r="C45" i="18"/>
  <c r="E23" i="18"/>
  <c r="G23" i="18"/>
  <c r="D24" i="18"/>
  <c r="H38" i="17"/>
  <c r="F36" i="17" s="1"/>
  <c r="D34" i="17" s="1"/>
  <c r="B32" i="17" s="1"/>
  <c r="G42" i="18" l="1"/>
  <c r="E43" i="18" s="1"/>
  <c r="F43" i="18" s="1"/>
  <c r="D43" i="18"/>
  <c r="E28" i="18"/>
  <c r="C27" i="18"/>
  <c r="E24" i="18"/>
  <c r="C46" i="18"/>
  <c r="G24" i="18"/>
  <c r="D45" i="18"/>
  <c r="G30" i="18"/>
  <c r="D44" i="18"/>
  <c r="F29" i="18"/>
  <c r="H42" i="18" l="1"/>
  <c r="F30" i="18"/>
  <c r="D46" i="18"/>
  <c r="H31" i="18"/>
  <c r="H34" i="18" s="1"/>
  <c r="C28" i="18"/>
  <c r="C29" i="18" s="1"/>
  <c r="C30" i="18" s="1"/>
  <c r="D27" i="18"/>
  <c r="D28" i="18" s="1"/>
  <c r="D29" i="18" s="1"/>
  <c r="D30" i="18" s="1"/>
  <c r="E29" i="18"/>
  <c r="E30" i="18" s="1"/>
  <c r="G43" i="18"/>
  <c r="E44" i="18" s="1"/>
  <c r="F44" i="18" s="1"/>
  <c r="G44" i="18" s="1"/>
  <c r="E45" i="18" s="1"/>
  <c r="F45" i="18" s="1"/>
  <c r="D31" i="18" l="1"/>
  <c r="D34" i="18" s="1"/>
  <c r="D39" i="18" s="1"/>
  <c r="H44" i="18"/>
  <c r="F31" i="18"/>
  <c r="F34" i="18" s="1"/>
  <c r="G31" i="18"/>
  <c r="G34" i="18" s="1"/>
  <c r="E31" i="18"/>
  <c r="E34" i="18" s="1"/>
  <c r="C31" i="18"/>
  <c r="C34" i="18" s="1"/>
  <c r="G45" i="18"/>
  <c r="E46" i="18" s="1"/>
  <c r="F46" i="18" s="1"/>
  <c r="H43" i="18"/>
  <c r="D36" i="18" l="1"/>
  <c r="D37" i="18" s="1"/>
  <c r="C36" i="18"/>
  <c r="C37" i="18" s="1"/>
  <c r="C39" i="18"/>
  <c r="H45" i="18"/>
  <c r="E36" i="18"/>
  <c r="E37" i="18" s="1"/>
  <c r="E39" i="18"/>
  <c r="G36" i="18"/>
  <c r="G37" i="18" s="1"/>
  <c r="G39" i="18"/>
  <c r="F39" i="18"/>
  <c r="F36" i="18"/>
  <c r="F37" i="18" s="1"/>
  <c r="G46" i="18"/>
  <c r="H46" i="18" s="1"/>
</calcChain>
</file>

<file path=xl/comments1.xml><?xml version="1.0" encoding="utf-8"?>
<comments xmlns="http://schemas.openxmlformats.org/spreadsheetml/2006/main">
  <authors>
    <author>alfonso</author>
    <author>Alfonso Rodriguez</author>
    <author>Alfonso Rodríguez</author>
    <author>ALFONSO R SANDIAS</author>
    <author>Alfonso</author>
  </authors>
  <commentList>
    <comment ref="B4" authorId="0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IPC previsto para el horizonte de planificación.</t>
        </r>
      </text>
    </comment>
    <comment ref="B7" authorId="1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Crecimiento previsto para el 8 año respecto del séptimo.</t>
        </r>
      </text>
    </comment>
    <comment ref="B44" authorId="2">
      <text>
        <r>
          <rPr>
            <b/>
            <sz val="8"/>
            <color indexed="81"/>
            <rFont val="Tahoma"/>
            <family val="2"/>
          </rPr>
          <t>Alfonso Rodríguez:</t>
        </r>
        <r>
          <rPr>
            <sz val="8"/>
            <color indexed="81"/>
            <rFont val="Tahoma"/>
            <family val="2"/>
          </rPr>
          <t xml:space="preserve">
Se refiere al porcentaje máximo que puede representar la deuda sobre el activo.</t>
        </r>
      </text>
    </comment>
    <comment ref="B45" authorId="1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Tipo de interés anual aplicado al endeudamiento.</t>
        </r>
      </text>
    </comment>
    <comment ref="B46" authorId="1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Tipo de reinversión al que se colocarán los excedentes.</t>
        </r>
      </text>
    </comment>
    <comment ref="B47" authorId="2">
      <text>
        <r>
          <rPr>
            <b/>
            <sz val="8"/>
            <color indexed="81"/>
            <rFont val="Tahoma"/>
            <family val="2"/>
          </rPr>
          <t>Alfonso Rodríguez:</t>
        </r>
        <r>
          <rPr>
            <sz val="8"/>
            <color indexed="81"/>
            <rFont val="Tahoma"/>
            <family val="2"/>
          </rPr>
          <t xml:space="preserve">
Se refiere al porcentaje de beneficios netos que se van a repartir como dividendos.</t>
        </r>
      </text>
    </comment>
    <comment ref="H54" authorId="3">
      <text>
        <r>
          <rPr>
            <b/>
            <sz val="8"/>
            <color indexed="81"/>
            <rFont val="Tahoma"/>
            <family val="2"/>
          </rPr>
          <t>ALFONSO R SANDIAS:</t>
        </r>
        <r>
          <rPr>
            <sz val="8"/>
            <color indexed="81"/>
            <rFont val="Tahoma"/>
            <family val="2"/>
          </rPr>
          <t xml:space="preserve">
Porcentaje sobre el resto de ingresos.</t>
        </r>
      </text>
    </comment>
    <comment ref="B55" authorId="3">
      <text>
        <r>
          <rPr>
            <b/>
            <sz val="8"/>
            <color indexed="81"/>
            <rFont val="Tahoma"/>
            <family val="2"/>
          </rPr>
          <t>ALFONSO R SANDIAS:</t>
        </r>
        <r>
          <rPr>
            <sz val="8"/>
            <color indexed="81"/>
            <rFont val="Tahoma"/>
            <family val="2"/>
          </rPr>
          <t xml:space="preserve">
Año de inicio de cada línea.</t>
        </r>
      </text>
    </comment>
    <comment ref="B56" authorId="2">
      <text>
        <r>
          <rPr>
            <b/>
            <sz val="8"/>
            <color indexed="81"/>
            <rFont val="Tahoma"/>
            <family val="2"/>
          </rPr>
          <t>Alfonso Rodríguez:</t>
        </r>
        <r>
          <rPr>
            <sz val="8"/>
            <color indexed="81"/>
            <rFont val="Tahoma"/>
            <family val="2"/>
          </rPr>
          <t xml:space="preserve">
Precio de venta unitario inicial.</t>
        </r>
      </text>
    </comment>
    <comment ref="B57" authorId="2">
      <text>
        <r>
          <rPr>
            <b/>
            <sz val="8"/>
            <color indexed="81"/>
            <rFont val="Tahoma"/>
            <family val="2"/>
          </rPr>
          <t>Alfonso Rodríguez:</t>
        </r>
        <r>
          <rPr>
            <sz val="8"/>
            <color indexed="81"/>
            <rFont val="Tahoma"/>
            <family val="2"/>
          </rPr>
          <t xml:space="preserve">
Volúmen de ventas inicial.</t>
        </r>
      </text>
    </comment>
    <comment ref="B58" authorId="1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Incremento en producción del año 1 al 2.</t>
        </r>
      </text>
    </comment>
    <comment ref="B59" authorId="1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Incremento en producción del año 2 al 3.</t>
        </r>
      </text>
    </comment>
    <comment ref="B60" authorId="1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Incremento en producción del año 3 al 4.</t>
        </r>
      </text>
    </comment>
    <comment ref="B61" authorId="1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Incremento en producción del año 4 al 5.</t>
        </r>
      </text>
    </comment>
    <comment ref="B62" authorId="1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Incremento en producción del año 5 al 6.</t>
        </r>
      </text>
    </comment>
    <comment ref="B63" authorId="1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Incremento en producción del año 6 al 7.</t>
        </r>
      </text>
    </comment>
    <comment ref="B80" authorId="4">
      <text>
        <r>
          <rPr>
            <b/>
            <sz val="8"/>
            <color indexed="81"/>
            <rFont val="Tahoma"/>
            <family val="2"/>
          </rPr>
          <t>Alfonso:</t>
        </r>
        <r>
          <rPr>
            <sz val="8"/>
            <color indexed="81"/>
            <rFont val="Tahoma"/>
            <family val="2"/>
          </rPr>
          <t xml:space="preserve">
Sobre personal, suministros y otros.</t>
        </r>
      </text>
    </comment>
  </commentList>
</comments>
</file>

<file path=xl/comments2.xml><?xml version="1.0" encoding="utf-8"?>
<comments xmlns="http://schemas.openxmlformats.org/spreadsheetml/2006/main">
  <authors>
    <author>Alfonso Rodríguez</author>
    <author>Alfonso Rodriguez</author>
    <author>ALFONSO R SANDIAS</author>
  </authors>
  <commentList>
    <comment ref="H2" authorId="0">
      <text>
        <r>
          <rPr>
            <b/>
            <sz val="8"/>
            <color indexed="81"/>
            <rFont val="Tahoma"/>
            <family val="2"/>
          </rPr>
          <t>Alfonso Rodríguez:</t>
        </r>
        <r>
          <rPr>
            <sz val="8"/>
            <color indexed="81"/>
            <rFont val="Tahoma"/>
            <family val="2"/>
          </rPr>
          <t xml:space="preserve">
Dato necesario para la simulación de escenarios.</t>
        </r>
      </text>
    </comment>
    <comment ref="E3" authorId="1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Es el coeficiente de amortización.</t>
        </r>
      </text>
    </comment>
    <comment ref="F3" authorId="2">
      <text>
        <r>
          <rPr>
            <b/>
            <sz val="8"/>
            <color indexed="81"/>
            <rFont val="Tahoma"/>
            <family val="2"/>
          </rPr>
          <t>ALFONSO R SANDIAS:</t>
        </r>
        <r>
          <rPr>
            <sz val="8"/>
            <color indexed="81"/>
            <rFont val="Tahoma"/>
            <family val="2"/>
          </rPr>
          <t xml:space="preserve">
IVA aplicable en la adquisición.</t>
        </r>
      </text>
    </comment>
    <comment ref="G3" authorId="1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La estimación inicial se corrige con el nivel de inversión, para permitir sensibilizar el resultado. Además se aplica la inflación.</t>
        </r>
      </text>
    </comment>
  </commentList>
</comments>
</file>

<file path=xl/comments3.xml><?xml version="1.0" encoding="utf-8"?>
<comments xmlns="http://schemas.openxmlformats.org/spreadsheetml/2006/main">
  <authors>
    <author>Alfonso</author>
    <author>Alfonso Rodriguez</author>
  </authors>
  <commentList>
    <comment ref="E16" authorId="0">
      <text>
        <r>
          <rPr>
            <b/>
            <sz val="8"/>
            <color indexed="81"/>
            <rFont val="Tahoma"/>
            <family val="2"/>
          </rPr>
          <t>Alfonso:</t>
        </r>
        <r>
          <rPr>
            <sz val="8"/>
            <color indexed="81"/>
            <rFont val="Tahoma"/>
            <family val="2"/>
          </rPr>
          <t xml:space="preserve">
Crecimiento sensibilizado</t>
        </r>
      </text>
    </comment>
    <comment ref="E22" authorId="0">
      <text>
        <r>
          <rPr>
            <b/>
            <sz val="8"/>
            <color indexed="81"/>
            <rFont val="Tahoma"/>
            <family val="2"/>
          </rPr>
          <t>Alfonso:</t>
        </r>
        <r>
          <rPr>
            <sz val="8"/>
            <color indexed="81"/>
            <rFont val="Tahoma"/>
            <family val="2"/>
          </rPr>
          <t xml:space="preserve">
Crecimiento sensibilizado</t>
        </r>
      </text>
    </comment>
    <comment ref="E28" authorId="0">
      <text>
        <r>
          <rPr>
            <b/>
            <sz val="8"/>
            <color indexed="81"/>
            <rFont val="Tahoma"/>
            <family val="2"/>
          </rPr>
          <t>Alfonso:</t>
        </r>
        <r>
          <rPr>
            <sz val="8"/>
            <color indexed="81"/>
            <rFont val="Tahoma"/>
            <family val="2"/>
          </rPr>
          <t xml:space="preserve">
Crecimiento sensibilizado</t>
        </r>
      </text>
    </comment>
    <comment ref="E34" authorId="0">
      <text>
        <r>
          <rPr>
            <b/>
            <sz val="8"/>
            <color indexed="81"/>
            <rFont val="Tahoma"/>
            <family val="2"/>
          </rPr>
          <t>Alfonso:</t>
        </r>
        <r>
          <rPr>
            <sz val="8"/>
            <color indexed="81"/>
            <rFont val="Tahoma"/>
            <family val="2"/>
          </rPr>
          <t xml:space="preserve">
Crecimiento sensibilizado</t>
        </r>
      </text>
    </comment>
    <comment ref="E40" authorId="0">
      <text>
        <r>
          <rPr>
            <b/>
            <sz val="8"/>
            <color indexed="81"/>
            <rFont val="Tahoma"/>
            <family val="2"/>
          </rPr>
          <t>Alfonso:</t>
        </r>
        <r>
          <rPr>
            <sz val="8"/>
            <color indexed="81"/>
            <rFont val="Tahoma"/>
            <family val="2"/>
          </rPr>
          <t xml:space="preserve">
Crecimiento sensibilizado</t>
        </r>
      </text>
    </comment>
    <comment ref="E44" authorId="0">
      <text>
        <r>
          <rPr>
            <b/>
            <sz val="8"/>
            <color indexed="81"/>
            <rFont val="Tahoma"/>
            <family val="2"/>
          </rPr>
          <t>Alfonso:</t>
        </r>
        <r>
          <rPr>
            <sz val="8"/>
            <color indexed="81"/>
            <rFont val="Tahoma"/>
            <family val="2"/>
          </rPr>
          <t xml:space="preserve">
Crecimiento sensibilizado</t>
        </r>
      </text>
    </comment>
    <comment ref="C47" authorId="0">
      <text>
        <r>
          <rPr>
            <b/>
            <sz val="8"/>
            <color indexed="81"/>
            <rFont val="Tahoma"/>
            <family val="2"/>
          </rPr>
          <t>Alfonso:</t>
        </r>
        <r>
          <rPr>
            <sz val="8"/>
            <color indexed="81"/>
            <rFont val="Tahoma"/>
            <family val="2"/>
          </rPr>
          <t xml:space="preserve">
Crecimiento de la combinación de lineas. Nominal</t>
        </r>
      </text>
    </comment>
    <comment ref="C63" authorId="1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Dato base para el cálculo de cada item. Porcentaje sobre ingresos de cada producto.</t>
        </r>
      </text>
    </comment>
  </commentList>
</comments>
</file>

<file path=xl/comments4.xml><?xml version="1.0" encoding="utf-8"?>
<comments xmlns="http://schemas.openxmlformats.org/spreadsheetml/2006/main">
  <authors>
    <author>Alfonso Rodriguez</author>
    <author>ALFONSO R SANDIAS</author>
  </authors>
  <commentList>
    <comment ref="C3" authorId="0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Balance  inicio</t>
        </r>
      </text>
    </comment>
    <comment ref="D3" authorId="0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Balance al cierre del primer año</t>
        </r>
      </text>
    </comment>
    <comment ref="B31" authorId="1">
      <text>
        <r>
          <rPr>
            <b/>
            <sz val="8"/>
            <color indexed="81"/>
            <rFont val="Tahoma"/>
            <family val="2"/>
          </rPr>
          <t>ALFONSO R SANDIAS:</t>
        </r>
        <r>
          <rPr>
            <sz val="8"/>
            <color indexed="81"/>
            <rFont val="Tahoma"/>
            <family val="2"/>
          </rPr>
          <t xml:space="preserve">
Deuda sobre activo, menos excedente de tesorería.</t>
        </r>
      </text>
    </comment>
  </commentList>
</comments>
</file>

<file path=xl/comments5.xml><?xml version="1.0" encoding="utf-8"?>
<comments xmlns="http://schemas.openxmlformats.org/spreadsheetml/2006/main">
  <authors>
    <author>Alfonso Rodriguez</author>
  </authors>
  <commentList>
    <comment ref="C8" authorId="0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Principio primer año de operaciones</t>
        </r>
      </text>
    </comment>
    <comment ref="D8" authorId="0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Primer año de operaciones</t>
        </r>
      </text>
    </comment>
    <comment ref="B14" authorId="0">
      <text>
        <r>
          <rPr>
            <b/>
            <sz val="8"/>
            <color indexed="81"/>
            <rFont val="Tahoma"/>
            <family val="2"/>
          </rPr>
          <t>Alfonso Rodriguez:</t>
        </r>
        <r>
          <rPr>
            <sz val="8"/>
            <color indexed="81"/>
            <rFont val="Tahoma"/>
            <family val="2"/>
          </rPr>
          <t xml:space="preserve">
El modelo calcula el Valor Residual por actualización del NOPAT futuro.</t>
        </r>
      </text>
    </comment>
  </commentList>
</comments>
</file>

<file path=xl/comments6.xml><?xml version="1.0" encoding="utf-8"?>
<comments xmlns="http://schemas.openxmlformats.org/spreadsheetml/2006/main">
  <authors>
    <author>ALFONSO R SANDIAS</author>
    <author>Alfonso Rodríguez</author>
  </authors>
  <commentList>
    <comment ref="B8" authorId="0">
      <text>
        <r>
          <rPr>
            <b/>
            <sz val="8"/>
            <color indexed="81"/>
            <rFont val="Tahoma"/>
            <family val="2"/>
          </rPr>
          <t>ALFONSO R SANDIAS:</t>
        </r>
        <r>
          <rPr>
            <sz val="8"/>
            <color indexed="81"/>
            <rFont val="Tahoma"/>
            <family val="2"/>
          </rPr>
          <t xml:space="preserve">
Los costes fijos incluyen la amortización del activo.</t>
        </r>
      </text>
    </comment>
    <comment ref="B15" authorId="1">
      <text>
        <r>
          <rPr>
            <b/>
            <sz val="8"/>
            <color indexed="81"/>
            <rFont val="Tahoma"/>
            <family val="2"/>
          </rPr>
          <t>Alfonso Rodríguez:</t>
        </r>
        <r>
          <rPr>
            <sz val="8"/>
            <color indexed="81"/>
            <rFont val="Tahoma"/>
            <family val="2"/>
          </rPr>
          <t xml:space="preserve">
Introducir los niveles de actividad por debajo y por encima del 100 % para realizar el gráfico.</t>
        </r>
      </text>
    </comment>
  </commentList>
</comments>
</file>

<file path=xl/sharedStrings.xml><?xml version="1.0" encoding="utf-8"?>
<sst xmlns="http://schemas.openxmlformats.org/spreadsheetml/2006/main" count="460" uniqueCount="322">
  <si>
    <t>VAN=</t>
  </si>
  <si>
    <t>TIR=</t>
  </si>
  <si>
    <t>INDICE RENTABILIDAD=</t>
  </si>
  <si>
    <t>PAYBACK APROX=</t>
  </si>
  <si>
    <t>PAYBACK DESCONTADO=</t>
  </si>
  <si>
    <t>AÑO</t>
  </si>
  <si>
    <t>GASTOS APERTURA</t>
  </si>
  <si>
    <t>CUANTIA</t>
  </si>
  <si>
    <t>IPC</t>
  </si>
  <si>
    <t>COSTES FIJOS</t>
  </si>
  <si>
    <t>PERSONAL</t>
  </si>
  <si>
    <t>OTROS</t>
  </si>
  <si>
    <t>TOTAL FIJOS</t>
  </si>
  <si>
    <t>COSTES VARIABLES</t>
  </si>
  <si>
    <t>INGRESOS DE EXPLOTACION</t>
  </si>
  <si>
    <t>BASE IMPONIBLE</t>
  </si>
  <si>
    <t>IMPUESTOS</t>
  </si>
  <si>
    <t>CAPITAL</t>
  </si>
  <si>
    <t>RENTABILIDAD DEL PROYECTO</t>
  </si>
  <si>
    <t>FNC DESCONTADO</t>
  </si>
  <si>
    <t>TIR CAPITAL=</t>
  </si>
  <si>
    <t>CASH FLOW OPERATIVO</t>
  </si>
  <si>
    <t>PAGOS EXTRAOPERATIVOS</t>
  </si>
  <si>
    <t>INVERSIONES</t>
  </si>
  <si>
    <t>CASH-FLOW EXTRAOPERATIVO</t>
  </si>
  <si>
    <t>TOTAL VARIABLES</t>
  </si>
  <si>
    <t>INGRESOS</t>
  </si>
  <si>
    <t>MARGEN BRUTO</t>
  </si>
  <si>
    <t>EQUILIBRIO en %</t>
  </si>
  <si>
    <t>TOTAL ACTIVO</t>
  </si>
  <si>
    <t>DIVIDENDOS</t>
  </si>
  <si>
    <t>INGRESOS FINANCIEROS</t>
  </si>
  <si>
    <t>EQUILIBRIO EN EUROS</t>
  </si>
  <si>
    <t>DATO BASE</t>
  </si>
  <si>
    <t xml:space="preserve">UNIDADES  </t>
  </si>
  <si>
    <t xml:space="preserve">PRECIO </t>
  </si>
  <si>
    <t>Nivel Costes</t>
  </si>
  <si>
    <t>TIR DEL CAPITAL</t>
  </si>
  <si>
    <t>VAN DEL PROYECTO</t>
  </si>
  <si>
    <t xml:space="preserve">  + AMORTIZACIÓN</t>
  </si>
  <si>
    <t>FLUJO NETO DE CAJA DEL PROYECTO</t>
  </si>
  <si>
    <t xml:space="preserve">  -  DEVOLUCIÓN NETA DE DEUDA</t>
  </si>
  <si>
    <t xml:space="preserve">  +/- INGRESOS SUBVENCIÓN</t>
  </si>
  <si>
    <t>FLUJO NETO DE CAJA DEL CAPITAL</t>
  </si>
  <si>
    <t>INGRESOS TOTALES</t>
  </si>
  <si>
    <t>Año</t>
  </si>
  <si>
    <t>Nivel en inversión</t>
  </si>
  <si>
    <t>Estimación</t>
  </si>
  <si>
    <t>AMORTIZACIÓN</t>
  </si>
  <si>
    <t>INVERSIÓN</t>
  </si>
  <si>
    <t>Coef.</t>
  </si>
  <si>
    <t>COSTES</t>
  </si>
  <si>
    <t>Escenarios</t>
  </si>
  <si>
    <t>Elección</t>
  </si>
  <si>
    <t>IVA SOPORTADO</t>
  </si>
  <si>
    <t xml:space="preserve">CRECIMIENTO </t>
  </si>
  <si>
    <t>COSTES COMERCIALIZACIÓN</t>
  </si>
  <si>
    <t>STOCK PRODUCTOS TERMINADOS</t>
  </si>
  <si>
    <t>TESORERÍA OPERATIVA</t>
  </si>
  <si>
    <t>COSTES TOTALES (sin amortización)</t>
  </si>
  <si>
    <t>EQUILIBRIO</t>
  </si>
  <si>
    <t>COSTES VARIABLES DE PRODUCCIÓN</t>
  </si>
  <si>
    <t>DEMORA PAGOS PROVEEDORES</t>
  </si>
  <si>
    <t>DEMORA PAGOS ACREEDORES</t>
  </si>
  <si>
    <t>DEMORA EN COBROS</t>
  </si>
  <si>
    <t>TIR DEL PROYECTO</t>
  </si>
  <si>
    <t>PESIMISTA</t>
  </si>
  <si>
    <t>OPTIMISTA</t>
  </si>
  <si>
    <t>VOLUMEN ACTIVIDAD</t>
  </si>
  <si>
    <t>HACIENDA DEUDORA POR IVA</t>
  </si>
  <si>
    <t>COSTES TOTALES</t>
  </si>
  <si>
    <t>EXISTENCIAS DE MATERIA PRIMA</t>
  </si>
  <si>
    <t>PROVEEDORES</t>
  </si>
  <si>
    <t>ACREEDORES</t>
  </si>
  <si>
    <t>Crecimiento (a partir año 7)=</t>
  </si>
  <si>
    <t>CRECIMIENTO</t>
  </si>
  <si>
    <t>EXISTENCIAS  PDTO. TERMINADO</t>
  </si>
  <si>
    <t>NIVEL DE ACTIVIDAD</t>
  </si>
  <si>
    <t xml:space="preserve">  - VARIACIONES EN FONDO DE MANIOBRA</t>
  </si>
  <si>
    <t>PAGOS OPERATIVOS</t>
  </si>
  <si>
    <t>TIPO IMPOSITIVO</t>
  </si>
  <si>
    <t>PRECIO VENTA INICIAL</t>
  </si>
  <si>
    <t>INCREMENTO ANUAL (1-2)</t>
  </si>
  <si>
    <t>INCREMENTO ANUAL (2-3)</t>
  </si>
  <si>
    <t>INCREMENTO ANUAL (3-4)</t>
  </si>
  <si>
    <t>INCREMENTO ANUAL (4-5)</t>
  </si>
  <si>
    <t>INCREMENTO ANUAL (5-6)</t>
  </si>
  <si>
    <t>INCREMENTO ANUAL (6-7)</t>
  </si>
  <si>
    <t>COSTE DEUDA</t>
  </si>
  <si>
    <t>DEUDA MAXIMA</t>
  </si>
  <si>
    <t xml:space="preserve">MATERIALES (%) </t>
  </si>
  <si>
    <t>OTROS DE EXPLOTACIÓN (%)</t>
  </si>
  <si>
    <t>COMERCIALIZACIÓN (%)</t>
  </si>
  <si>
    <t>IVA</t>
  </si>
  <si>
    <t>PAYBACK</t>
  </si>
  <si>
    <t>PRECIO</t>
  </si>
  <si>
    <t>TOTAL</t>
  </si>
  <si>
    <t>MATERIALES</t>
  </si>
  <si>
    <t>OTROS COSTES DE EXPLOTACIÓN</t>
  </si>
  <si>
    <t>Consumo de Materiales</t>
  </si>
  <si>
    <t>Compras de materiales</t>
  </si>
  <si>
    <t>Existencias de materiales</t>
  </si>
  <si>
    <t>MATERIAS PRIMAS Y AUXILIARES</t>
  </si>
  <si>
    <t>Otros C. De Explot más C. De Comerc.</t>
  </si>
  <si>
    <t>OTROS C. DE EXPL. Y COMERC.</t>
  </si>
  <si>
    <t>RESERVAS</t>
  </si>
  <si>
    <t>ALQUILERES</t>
  </si>
  <si>
    <t>GASTOS GENERALES</t>
  </si>
  <si>
    <t>SEGUROS Y TRIBUTOS</t>
  </si>
  <si>
    <t>SUMINISTROS</t>
  </si>
  <si>
    <t>DEVOLUCIÓN IVA HACIENDA</t>
  </si>
  <si>
    <t>TIR MODIFICADA =</t>
  </si>
  <si>
    <t>GASTOS FINANCIEROS</t>
  </si>
  <si>
    <t>VENTAS INICIALES</t>
  </si>
  <si>
    <t>Ratio de endeudamiento</t>
  </si>
  <si>
    <t>COBROS DE VENTAS</t>
  </si>
  <si>
    <t>VARIACIONES EN CAJA OPERATIVA</t>
  </si>
  <si>
    <t>COBROS OPERATIVOS</t>
  </si>
  <si>
    <t>COBROS EXTRAOPERATIVOS</t>
  </si>
  <si>
    <t>Cuadre de balance</t>
  </si>
  <si>
    <t>NOPAT</t>
  </si>
  <si>
    <t>CRECIMIENTO RESIDUAL</t>
  </si>
  <si>
    <t>Linea A</t>
  </si>
  <si>
    <t>Linea B</t>
  </si>
  <si>
    <t>Linea C</t>
  </si>
  <si>
    <t>Linea D</t>
  </si>
  <si>
    <t>Linea E</t>
  </si>
  <si>
    <t>Linea F</t>
  </si>
  <si>
    <t>VER EQUILIBRIO POR LINEA</t>
  </si>
  <si>
    <t xml:space="preserve"> CAJA OPERATIVA</t>
  </si>
  <si>
    <t>STOCK MATERIAS PRIMAS</t>
  </si>
  <si>
    <t>FONDO DE MANIOBRA</t>
  </si>
  <si>
    <t>LINEAS DE NEGOCIO</t>
  </si>
  <si>
    <t xml:space="preserve">EXCEDENTE TESORERÍA ANUAL </t>
  </si>
  <si>
    <t>EXCEDENTE TESORERIA ACUMULADA</t>
  </si>
  <si>
    <t>GASTOS FINANCIEROS DEUDA</t>
  </si>
  <si>
    <t>Factor de descuento</t>
  </si>
  <si>
    <t>Cuadro de Amortización Anual</t>
  </si>
  <si>
    <t>RESUMEN ANUAL DE INVERSIONES</t>
  </si>
  <si>
    <t xml:space="preserve">  -  ADQUISICIONES  DE ACTIVO FIJO</t>
  </si>
  <si>
    <t>Chequeo</t>
  </si>
  <si>
    <t>(AMORT. ACUMULADA I.IN)</t>
  </si>
  <si>
    <t>AMORTIZACION</t>
  </si>
  <si>
    <t>INICIO LINEA</t>
  </si>
  <si>
    <t>Mes inicio</t>
  </si>
  <si>
    <t>INMOVILIZADO TANGIBLE</t>
  </si>
  <si>
    <t>INMOVILIZADO INTANGIBLE</t>
  </si>
  <si>
    <t>(AMORT. ACUMULADA I.T)</t>
  </si>
  <si>
    <t>AMORTIZACIÓN INMOVILIZADO TANGIBLE</t>
  </si>
  <si>
    <t>AMORTIZACIÓN INMOVILIZADO INTANGIBLE</t>
  </si>
  <si>
    <t>COSTES FIJOS IMPUTADOS</t>
  </si>
  <si>
    <t>Nivel en crecimiento</t>
  </si>
  <si>
    <t>Nivel en actividad</t>
  </si>
  <si>
    <t>Nivel en precio</t>
  </si>
  <si>
    <t>Dato base</t>
  </si>
  <si>
    <t xml:space="preserve"> NUEVA DEUDA NETA</t>
  </si>
  <si>
    <t>AMORTIZACIÓN DEUDA NETA</t>
  </si>
  <si>
    <t>Fondo de Maniobra Operativo</t>
  </si>
  <si>
    <t xml:space="preserve">  + VALOR EN CONTINUIDAD</t>
  </si>
  <si>
    <t xml:space="preserve"> + VALOR EN CONTINUIDAD</t>
  </si>
  <si>
    <t>Interés activo=</t>
  </si>
  <si>
    <t xml:space="preserve">Crecimiento </t>
  </si>
  <si>
    <t>INTERÉS ACTIVO</t>
  </si>
  <si>
    <t>Inmv. Tang 1</t>
  </si>
  <si>
    <t>Inmv. Tang 2</t>
  </si>
  <si>
    <t>Inmv. Tang 3</t>
  </si>
  <si>
    <t>Inmv. Tang 4</t>
  </si>
  <si>
    <t>Inmv. Tang 5</t>
  </si>
  <si>
    <t>Inmv. Tang 6</t>
  </si>
  <si>
    <t>Inmv. Tang 7</t>
  </si>
  <si>
    <t>Inmv. Tang 8</t>
  </si>
  <si>
    <t>Inmv. Tang 9</t>
  </si>
  <si>
    <t>Inmv. Tang 10</t>
  </si>
  <si>
    <t>Inmv. Tang 11</t>
  </si>
  <si>
    <t>Inmv. Tang 12</t>
  </si>
  <si>
    <t>Inmv. Tang 13</t>
  </si>
  <si>
    <t>Inmv. Tang 14</t>
  </si>
  <si>
    <t>Inmv. Tang 15</t>
  </si>
  <si>
    <t>Inmv. Tang 16</t>
  </si>
  <si>
    <t>Inmv. Tang 17</t>
  </si>
  <si>
    <t>Inmv. Tang 18</t>
  </si>
  <si>
    <t>Inmv. Tang 19</t>
  </si>
  <si>
    <t>Inmv. Tang 20</t>
  </si>
  <si>
    <t>Inmv. Intang. 1</t>
  </si>
  <si>
    <t>Inmv. Intang. 2</t>
  </si>
  <si>
    <t>Inmv. Intang. 3</t>
  </si>
  <si>
    <t>Inmv. Intang. 4</t>
  </si>
  <si>
    <t>Inmv. Intang. 5</t>
  </si>
  <si>
    <t>Inmv. Intang. 6</t>
  </si>
  <si>
    <t>Inmv. Intang. 7</t>
  </si>
  <si>
    <t>Inmv. Intang. 8</t>
  </si>
  <si>
    <t>Inmv. Intang. 9</t>
  </si>
  <si>
    <t>Inmv. Intang. 10</t>
  </si>
  <si>
    <t>ACTIVO NO CORRIENTE</t>
  </si>
  <si>
    <t>DEUDORES COMERCIALES</t>
  </si>
  <si>
    <t>ACTIVO CORRIENTE</t>
  </si>
  <si>
    <t>SUBVENCIONES</t>
  </si>
  <si>
    <t>PATRIMONIO NETO</t>
  </si>
  <si>
    <t>PASIVO NO CORRIENTE</t>
  </si>
  <si>
    <t>PASIVO CORRIENTE</t>
  </si>
  <si>
    <t>TOTAL PATRIMONIO NETO Y PASIVO</t>
  </si>
  <si>
    <t>HACIENDA ACREEDORA</t>
  </si>
  <si>
    <t>RESULTADO DE EXPLOTACIÓN</t>
  </si>
  <si>
    <t>IMPUTACIÓN DE SUBVENCIONES</t>
  </si>
  <si>
    <t>RESULTADO ANTES DE IMPUESTOS</t>
  </si>
  <si>
    <t>IMPUESTO SOBRE BENEFICIOS</t>
  </si>
  <si>
    <t>RESULTADO DEL EJERCICIO</t>
  </si>
  <si>
    <t>TASA DE RENTABILIDAD REQUERIDA</t>
  </si>
  <si>
    <t>EXCEDENTE DE TESORERÍA</t>
  </si>
  <si>
    <t xml:space="preserve">DEUDA </t>
  </si>
  <si>
    <t>Indice IPC</t>
  </si>
  <si>
    <t xml:space="preserve">COSTE MATERIALES (%) </t>
  </si>
  <si>
    <t>COSTE OTROS DE EXPLOTACIÓN (%)</t>
  </si>
  <si>
    <t>COSTE COMERCIALIZACIÓN (%)</t>
  </si>
  <si>
    <t>Inicial</t>
  </si>
  <si>
    <t>Incremento</t>
  </si>
  <si>
    <t>COEF AMORT</t>
  </si>
  <si>
    <t>FINANCIACIÓN</t>
  </si>
  <si>
    <t>Existencias de producto terminado</t>
  </si>
  <si>
    <t>Materiales en pdto. Tdo.</t>
  </si>
  <si>
    <t xml:space="preserve">Otros de expl. en pdto. Tdo </t>
  </si>
  <si>
    <t>Consumos de otros de explotación</t>
  </si>
  <si>
    <t>Chequeo tesorería</t>
  </si>
  <si>
    <t>Tasa de rentabilidad requerida</t>
  </si>
  <si>
    <t>RENTABILIDAD DEL SOCIO</t>
  </si>
  <si>
    <t>ESCENARIOS</t>
  </si>
  <si>
    <t>Escenario elegido</t>
  </si>
  <si>
    <t>% de costes que se activarán</t>
  </si>
  <si>
    <t>COSTES FIJOS ACTIVADOS</t>
  </si>
  <si>
    <t>Activados 1</t>
  </si>
  <si>
    <t>Activados 2</t>
  </si>
  <si>
    <t>Activados 3</t>
  </si>
  <si>
    <t>Activados 4</t>
  </si>
  <si>
    <t>Activados 5</t>
  </si>
  <si>
    <t>Activados 6</t>
  </si>
  <si>
    <t>Activados 7</t>
  </si>
  <si>
    <t>NECESIDADES DE FINANCIACIÓN</t>
  </si>
  <si>
    <t>NUEVO CAPITAL</t>
  </si>
  <si>
    <t>NUEVA DEUDA</t>
  </si>
  <si>
    <t>TIR</t>
  </si>
  <si>
    <t>Año para ver el punto de equilibrio</t>
  </si>
  <si>
    <t>SUBVENCIONES DE CAPITAL</t>
  </si>
  <si>
    <t>SUBVENCIONES DE EXPLOTACION</t>
  </si>
  <si>
    <t>TOTAL INGRESOS</t>
  </si>
  <si>
    <t>SUBVENCIONES A LA EXPLOTACION</t>
  </si>
  <si>
    <t>EXCEDENTE, SEGÚN BALANCE</t>
  </si>
  <si>
    <t>DATOS GENERALES</t>
  </si>
  <si>
    <t>Optimista</t>
  </si>
  <si>
    <t>Pesimista</t>
  </si>
  <si>
    <t>Diferencia</t>
  </si>
  <si>
    <t>Tabla para gráfico de tornado</t>
  </si>
  <si>
    <t>Tabla reordenada</t>
  </si>
  <si>
    <t>Inversión</t>
  </si>
  <si>
    <t>Precio</t>
  </si>
  <si>
    <t>Costes</t>
  </si>
  <si>
    <t>Crecimiento</t>
  </si>
  <si>
    <t>Subvenciones</t>
  </si>
  <si>
    <t>Nivel de Actividad</t>
  </si>
  <si>
    <t>Orden</t>
  </si>
  <si>
    <t>Base</t>
  </si>
  <si>
    <t>Sensibilidad del VAN a cada variable</t>
  </si>
  <si>
    <t>VAN</t>
  </si>
  <si>
    <t>Total</t>
  </si>
  <si>
    <t>Tasa</t>
  </si>
  <si>
    <t>Valor</t>
  </si>
  <si>
    <t>Fases I+D</t>
  </si>
  <si>
    <t>Fase 1</t>
  </si>
  <si>
    <t>Fase 2</t>
  </si>
  <si>
    <t>Fase 3</t>
  </si>
  <si>
    <t>Fase 4</t>
  </si>
  <si>
    <t>Duración</t>
  </si>
  <si>
    <t>Coste anual Fase</t>
  </si>
  <si>
    <t>Probabilidad de éxito</t>
  </si>
  <si>
    <t>Coste actualizado fase</t>
  </si>
  <si>
    <t>Final Fase</t>
  </si>
  <si>
    <t>Fase</t>
  </si>
  <si>
    <t>Prob éxito</t>
  </si>
  <si>
    <t>Prob éxito final</t>
  </si>
  <si>
    <t>Coste</t>
  </si>
  <si>
    <t>Flujo</t>
  </si>
  <si>
    <t>Flujo ajustado al riesgo</t>
  </si>
  <si>
    <t>Valor ajustado al riesgo</t>
  </si>
  <si>
    <t>Abandono</t>
  </si>
  <si>
    <t>Ventas</t>
  </si>
  <si>
    <t>RONDAS DE FINANCIACIÓN</t>
  </si>
  <si>
    <t>I + d previo (fase cero)</t>
  </si>
  <si>
    <t>Duración (fase cero)</t>
  </si>
  <si>
    <t>Acciones</t>
  </si>
  <si>
    <t xml:space="preserve">Fase 0 </t>
  </si>
  <si>
    <t>Costes (inicio fase)</t>
  </si>
  <si>
    <t>Valor inicio etapa</t>
  </si>
  <si>
    <t>EVOLUCIÓN DE LA PROPIEDAD EN LAS RONDAS DE FINANCIACIÓN</t>
  </si>
  <si>
    <t>Ronda</t>
  </si>
  <si>
    <t>I + D Acumulado</t>
  </si>
  <si>
    <t>Valor previo (Premoney)</t>
  </si>
  <si>
    <t>Paso incremental</t>
  </si>
  <si>
    <t>Nueva financiación</t>
  </si>
  <si>
    <t>Valor Posterior (postmoney)</t>
  </si>
  <si>
    <t>Ronda 1</t>
  </si>
  <si>
    <t>Ronda 2</t>
  </si>
  <si>
    <t>Ronda 3</t>
  </si>
  <si>
    <t>Ronda 4</t>
  </si>
  <si>
    <t>Ronda 5</t>
  </si>
  <si>
    <t>Propiedad tras la ronda</t>
  </si>
  <si>
    <t>Fundadores</t>
  </si>
  <si>
    <t>Inversores de Ronda 1</t>
  </si>
  <si>
    <t>Inversores de Ronda 2</t>
  </si>
  <si>
    <t>Inversores de Ronda 3</t>
  </si>
  <si>
    <t>Inversores de Ronda 4</t>
  </si>
  <si>
    <t>Inversores de Ronda 5</t>
  </si>
  <si>
    <t xml:space="preserve"> </t>
  </si>
  <si>
    <t>Valor en la Aprobación</t>
  </si>
  <si>
    <t>Ganancia</t>
  </si>
  <si>
    <t>% de ganancia</t>
  </si>
  <si>
    <t>Horizonte</t>
  </si>
  <si>
    <t>Rentab. anual</t>
  </si>
  <si>
    <t>Capitalización Previa (Premoney)</t>
  </si>
  <si>
    <t>Capitalización Posterior (Postmoney)</t>
  </si>
  <si>
    <t>Nº de acciones previas (Premoney)</t>
  </si>
  <si>
    <t>Precio acción</t>
  </si>
  <si>
    <t>Nº de acciones posterior (Postmoney)</t>
  </si>
  <si>
    <t>Chequeo con financiación recibida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</si>
</sst>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164" formatCode="_-* #,##0\ _P_t_s_-;\-* #,##0\ _P_t_s_-;_-* &quot;-&quot;\ _P_t_s_-;_-@_-"/>
    <numFmt numFmtId="165" formatCode="0.0%"/>
    <numFmt numFmtId="166" formatCode="0.000"/>
    <numFmt numFmtId="167" formatCode="#,##0&quot; Eur&quot;;\-#,##0&quot; Eur&quot;"/>
    <numFmt numFmtId="168" formatCode="#,##0.0&quot; Euros&quot;;\-#,##0.0&quot; Euros&quot;"/>
    <numFmt numFmtId="169" formatCode="&quot;DIC-&quot;####"/>
    <numFmt numFmtId="170" formatCode="&quot;- &quot;\ General"/>
    <numFmt numFmtId="171" formatCode="&quot;Enero&quot;\ ####"/>
    <numFmt numFmtId="172" formatCode="&quot;Mes inicio = &quot;\ #"/>
    <numFmt numFmtId="173" formatCode="[$-C0A]mmmmm;@"/>
    <numFmt numFmtId="174" formatCode="#,##0_ ;\-#,##0\ "/>
    <numFmt numFmtId="175" formatCode="_(&quot;$&quot;* #,##0.00_);_(&quot;$&quot;* \(#,##0.00\);_(&quot;$&quot;* &quot;-&quot;??_);_(@_)"/>
    <numFmt numFmtId="176" formatCode="#,##0.0"/>
    <numFmt numFmtId="177" formatCode="_(* #,##0_);_(* \(#,##0\);_(* &quot;-&quot;??_);_(@_)"/>
    <numFmt numFmtId="178" formatCode="_(* #,##0.00_);_(* \(#,##0.00\);_(* &quot;-&quot;??_);_(@_)"/>
    <numFmt numFmtId="179" formatCode="0.000%"/>
  </numFmts>
  <fonts count="17">
    <font>
      <sz val="10"/>
      <name val="Arial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u/>
      <sz val="10"/>
      <color indexed="12"/>
      <name val="Arial"/>
      <family val="2"/>
    </font>
    <font>
      <sz val="8"/>
      <color indexed="9"/>
      <name val="Arial"/>
      <family val="2"/>
    </font>
    <font>
      <b/>
      <sz val="8"/>
      <color indexed="10"/>
      <name val="Arial"/>
      <family val="2"/>
    </font>
    <font>
      <b/>
      <sz val="8"/>
      <color indexed="9"/>
      <name val="Arial"/>
      <family val="2"/>
    </font>
    <font>
      <sz val="10"/>
      <color theme="0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9"/>
      <name val="Geneva"/>
    </font>
    <font>
      <sz val="11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0" fontId="1" fillId="0" borderId="0"/>
    <xf numFmtId="0" fontId="15" fillId="0" borderId="0"/>
    <xf numFmtId="178" fontId="1" fillId="0" borderId="0" applyFont="0" applyFill="0" applyBorder="0" applyAlignment="0" applyProtection="0"/>
    <xf numFmtId="0" fontId="1" fillId="0" borderId="0"/>
    <xf numFmtId="0" fontId="1" fillId="0" borderId="0"/>
    <xf numFmtId="9" fontId="16" fillId="0" borderId="0" applyFont="0" applyFill="0" applyBorder="0" applyAlignment="0" applyProtection="0"/>
  </cellStyleXfs>
  <cellXfs count="536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/>
    <xf numFmtId="0" fontId="2" fillId="0" borderId="0" xfId="0" applyFont="1"/>
    <xf numFmtId="0" fontId="3" fillId="0" borderId="1" xfId="0" applyFont="1" applyBorder="1"/>
    <xf numFmtId="1" fontId="3" fillId="0" borderId="0" xfId="0" applyNumberFormat="1" applyFont="1"/>
    <xf numFmtId="1" fontId="3" fillId="0" borderId="0" xfId="0" applyNumberFormat="1" applyFont="1" applyBorder="1"/>
    <xf numFmtId="0" fontId="2" fillId="0" borderId="0" xfId="0" applyFont="1" applyBorder="1"/>
    <xf numFmtId="0" fontId="3" fillId="2" borderId="0" xfId="0" applyFont="1" applyFill="1"/>
    <xf numFmtId="0" fontId="2" fillId="0" borderId="1" xfId="0" applyFont="1" applyBorder="1"/>
    <xf numFmtId="0" fontId="2" fillId="3" borderId="0" xfId="0" applyFont="1" applyFill="1"/>
    <xf numFmtId="0" fontId="3" fillId="0" borderId="0" xfId="0" applyFont="1" applyBorder="1" applyAlignment="1">
      <alignment horizontal="right"/>
    </xf>
    <xf numFmtId="0" fontId="2" fillId="0" borderId="2" xfId="0" applyFont="1" applyBorder="1"/>
    <xf numFmtId="0" fontId="2" fillId="0" borderId="0" xfId="0" applyFont="1" applyFill="1"/>
    <xf numFmtId="0" fontId="3" fillId="0" borderId="0" xfId="0" applyFont="1" applyFill="1"/>
    <xf numFmtId="0" fontId="2" fillId="0" borderId="0" xfId="0" applyFont="1" applyFill="1" applyBorder="1"/>
    <xf numFmtId="0" fontId="3" fillId="0" borderId="0" xfId="0" applyFont="1" applyFill="1" applyBorder="1"/>
    <xf numFmtId="0" fontId="2" fillId="2" borderId="0" xfId="0" applyFont="1" applyFill="1" applyBorder="1"/>
    <xf numFmtId="0" fontId="3" fillId="3" borderId="0" xfId="0" applyFont="1" applyFill="1"/>
    <xf numFmtId="9" fontId="3" fillId="0" borderId="0" xfId="0" applyNumberFormat="1" applyFont="1"/>
    <xf numFmtId="168" fontId="0" fillId="0" borderId="0" xfId="0" applyNumberFormat="1" applyFill="1" applyBorder="1" applyAlignment="1"/>
    <xf numFmtId="167" fontId="2" fillId="0" borderId="0" xfId="0" applyNumberFormat="1" applyFont="1" applyFill="1"/>
    <xf numFmtId="1" fontId="3" fillId="0" borderId="0" xfId="0" applyNumberFormat="1" applyFont="1" applyFill="1" applyBorder="1"/>
    <xf numFmtId="0" fontId="2" fillId="4" borderId="0" xfId="0" applyFont="1" applyFill="1" applyBorder="1"/>
    <xf numFmtId="0" fontId="2" fillId="5" borderId="0" xfId="0" applyFont="1" applyFill="1" applyBorder="1"/>
    <xf numFmtId="0" fontId="2" fillId="3" borderId="0" xfId="0" applyFont="1" applyFill="1" applyBorder="1"/>
    <xf numFmtId="0" fontId="2" fillId="3" borderId="0" xfId="0" applyFont="1" applyFill="1" applyBorder="1" applyAlignment="1">
      <alignment horizontal="right"/>
    </xf>
    <xf numFmtId="0" fontId="2" fillId="3" borderId="0" xfId="0" applyFont="1" applyFill="1" applyBorder="1" applyAlignment="1">
      <alignment horizontal="left"/>
    </xf>
    <xf numFmtId="9" fontId="2" fillId="3" borderId="0" xfId="3" applyFont="1" applyFill="1" applyBorder="1" applyAlignment="1">
      <alignment horizontal="center"/>
    </xf>
    <xf numFmtId="0" fontId="2" fillId="0" borderId="0" xfId="0" applyFont="1" applyFill="1" applyBorder="1" applyAlignment="1">
      <alignment horizontal="right"/>
    </xf>
    <xf numFmtId="9" fontId="2" fillId="6" borderId="0" xfId="3" applyFont="1" applyFill="1" applyBorder="1" applyAlignment="1">
      <alignment horizontal="center"/>
    </xf>
    <xf numFmtId="0" fontId="2" fillId="7" borderId="0" xfId="0" applyFont="1" applyFill="1" applyBorder="1"/>
    <xf numFmtId="3" fontId="3" fillId="0" borderId="0" xfId="0" applyNumberFormat="1" applyFont="1"/>
    <xf numFmtId="3" fontId="3" fillId="0" borderId="0" xfId="0" applyNumberFormat="1" applyFont="1" applyAlignment="1">
      <alignment horizontal="right"/>
    </xf>
    <xf numFmtId="3" fontId="3" fillId="0" borderId="1" xfId="0" applyNumberFormat="1" applyFont="1" applyBorder="1"/>
    <xf numFmtId="3" fontId="3" fillId="0" borderId="0" xfId="0" applyNumberFormat="1" applyFont="1" applyBorder="1"/>
    <xf numFmtId="0" fontId="3" fillId="2" borderId="0" xfId="0" applyFont="1" applyFill="1" applyBorder="1"/>
    <xf numFmtId="1" fontId="3" fillId="2" borderId="0" xfId="0" applyNumberFormat="1" applyFont="1" applyFill="1" applyBorder="1"/>
    <xf numFmtId="3" fontId="3" fillId="0" borderId="0" xfId="0" applyNumberFormat="1" applyFont="1" applyFill="1" applyBorder="1"/>
    <xf numFmtId="3" fontId="2" fillId="0" borderId="0" xfId="0" applyNumberFormat="1" applyFont="1" applyFill="1" applyBorder="1"/>
    <xf numFmtId="0" fontId="2" fillId="0" borderId="5" xfId="0" applyFont="1" applyFill="1" applyBorder="1"/>
    <xf numFmtId="10" fontId="2" fillId="0" borderId="5" xfId="3" applyNumberFormat="1" applyFont="1" applyFill="1" applyBorder="1"/>
    <xf numFmtId="0" fontId="3" fillId="0" borderId="6" xfId="0" applyFont="1" applyFill="1" applyBorder="1"/>
    <xf numFmtId="3" fontId="3" fillId="0" borderId="6" xfId="0" applyNumberFormat="1" applyFont="1" applyFill="1" applyBorder="1"/>
    <xf numFmtId="0" fontId="3" fillId="0" borderId="7" xfId="0" applyFont="1" applyFill="1" applyBorder="1"/>
    <xf numFmtId="3" fontId="3" fillId="0" borderId="7" xfId="0" applyNumberFormat="1" applyFont="1" applyFill="1" applyBorder="1"/>
    <xf numFmtId="9" fontId="3" fillId="0" borderId="6" xfId="3" applyFont="1" applyFill="1" applyBorder="1"/>
    <xf numFmtId="3" fontId="3" fillId="0" borderId="0" xfId="0" applyNumberFormat="1" applyFont="1" applyFill="1" applyBorder="1" applyAlignment="1">
      <alignment horizontal="right"/>
    </xf>
    <xf numFmtId="3" fontId="2" fillId="0" borderId="6" xfId="0" applyNumberFormat="1" applyFont="1" applyFill="1" applyBorder="1"/>
    <xf numFmtId="3" fontId="2" fillId="3" borderId="0" xfId="0" applyNumberFormat="1" applyFont="1" applyFill="1" applyBorder="1" applyAlignment="1">
      <alignment horizontal="center"/>
    </xf>
    <xf numFmtId="0" fontId="2" fillId="8" borderId="0" xfId="0" applyFont="1" applyFill="1" applyBorder="1"/>
    <xf numFmtId="0" fontId="3" fillId="0" borderId="0" xfId="0" applyFont="1" applyBorder="1"/>
    <xf numFmtId="0" fontId="2" fillId="2" borderId="0" xfId="0" applyFont="1" applyFill="1" applyBorder="1" applyAlignment="1">
      <alignment horizontal="center"/>
    </xf>
    <xf numFmtId="0" fontId="2" fillId="0" borderId="8" xfId="0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0" fontId="3" fillId="0" borderId="9" xfId="0" applyFont="1" applyBorder="1"/>
    <xf numFmtId="0" fontId="3" fillId="0" borderId="10" xfId="0" applyFont="1" applyBorder="1"/>
    <xf numFmtId="0" fontId="2" fillId="0" borderId="1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3" fillId="0" borderId="12" xfId="0" applyFont="1" applyBorder="1"/>
    <xf numFmtId="0" fontId="3" fillId="0" borderId="13" xfId="0" applyFont="1" applyBorder="1"/>
    <xf numFmtId="0" fontId="2" fillId="8" borderId="0" xfId="0" applyFont="1" applyFill="1" applyBorder="1" applyAlignment="1">
      <alignment horizontal="right"/>
    </xf>
    <xf numFmtId="0" fontId="2" fillId="5" borderId="0" xfId="0" applyFont="1" applyFill="1" applyBorder="1" applyAlignment="1">
      <alignment horizontal="right"/>
    </xf>
    <xf numFmtId="0" fontId="2" fillId="7" borderId="0" xfId="0" applyFont="1" applyFill="1" applyBorder="1" applyAlignment="1">
      <alignment horizontal="right"/>
    </xf>
    <xf numFmtId="2" fontId="2" fillId="2" borderId="0" xfId="0" applyNumberFormat="1" applyFont="1" applyFill="1" applyBorder="1" applyAlignment="1">
      <alignment horizontal="center"/>
    </xf>
    <xf numFmtId="0" fontId="2" fillId="0" borderId="14" xfId="0" applyFont="1" applyBorder="1" applyAlignment="1">
      <alignment horizontal="right"/>
    </xf>
    <xf numFmtId="0" fontId="3" fillId="0" borderId="8" xfId="0" applyFont="1" applyBorder="1"/>
    <xf numFmtId="0" fontId="9" fillId="0" borderId="0" xfId="0" applyFont="1" applyFill="1" applyBorder="1" applyAlignment="1">
      <alignment horizontal="center"/>
    </xf>
    <xf numFmtId="0" fontId="9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right"/>
    </xf>
    <xf numFmtId="165" fontId="2" fillId="0" borderId="0" xfId="3" applyNumberFormat="1" applyFont="1" applyBorder="1" applyAlignment="1">
      <alignment horizontal="center"/>
    </xf>
    <xf numFmtId="165" fontId="3" fillId="6" borderId="0" xfId="3" applyNumberFormat="1" applyFont="1" applyFill="1" applyBorder="1" applyAlignment="1">
      <alignment horizontal="center"/>
    </xf>
    <xf numFmtId="165" fontId="3" fillId="0" borderId="0" xfId="3" applyNumberFormat="1" applyFont="1" applyFill="1" applyBorder="1" applyAlignment="1">
      <alignment horizontal="center"/>
    </xf>
    <xf numFmtId="165" fontId="3" fillId="6" borderId="9" xfId="3" applyNumberFormat="1" applyFont="1" applyFill="1" applyBorder="1" applyAlignment="1">
      <alignment horizontal="center"/>
    </xf>
    <xf numFmtId="165" fontId="2" fillId="0" borderId="1" xfId="3" applyNumberFormat="1" applyFont="1" applyBorder="1" applyAlignment="1">
      <alignment horizontal="center"/>
    </xf>
    <xf numFmtId="165" fontId="3" fillId="6" borderId="10" xfId="3" applyNumberFormat="1" applyFont="1" applyFill="1" applyBorder="1" applyAlignment="1">
      <alignment horizontal="center"/>
    </xf>
    <xf numFmtId="0" fontId="2" fillId="0" borderId="14" xfId="0" applyFont="1" applyFill="1" applyBorder="1"/>
    <xf numFmtId="0" fontId="2" fillId="0" borderId="12" xfId="0" applyFont="1" applyFill="1" applyBorder="1"/>
    <xf numFmtId="0" fontId="2" fillId="3" borderId="12" xfId="0" applyFont="1" applyFill="1" applyBorder="1"/>
    <xf numFmtId="0" fontId="5" fillId="0" borderId="12" xfId="0" applyFont="1" applyBorder="1"/>
    <xf numFmtId="0" fontId="2" fillId="0" borderId="13" xfId="0" applyFont="1" applyFill="1" applyBorder="1"/>
    <xf numFmtId="0" fontId="2" fillId="3" borderId="8" xfId="0" applyFont="1" applyFill="1" applyBorder="1"/>
    <xf numFmtId="0" fontId="2" fillId="0" borderId="8" xfId="0" applyFont="1" applyBorder="1"/>
    <xf numFmtId="3" fontId="3" fillId="0" borderId="9" xfId="0" applyNumberFormat="1" applyFont="1" applyBorder="1"/>
    <xf numFmtId="0" fontId="2" fillId="0" borderId="8" xfId="0" applyFont="1" applyFill="1" applyBorder="1"/>
    <xf numFmtId="3" fontId="3" fillId="0" borderId="9" xfId="0" applyNumberFormat="1" applyFont="1" applyFill="1" applyBorder="1"/>
    <xf numFmtId="0" fontId="2" fillId="0" borderId="11" xfId="0" applyFont="1" applyBorder="1"/>
    <xf numFmtId="0" fontId="2" fillId="0" borderId="1" xfId="0" applyFont="1" applyFill="1" applyBorder="1"/>
    <xf numFmtId="0" fontId="2" fillId="3" borderId="1" xfId="0" applyFont="1" applyFill="1" applyBorder="1"/>
    <xf numFmtId="3" fontId="2" fillId="3" borderId="1" xfId="0" applyNumberFormat="1" applyFont="1" applyFill="1" applyBorder="1"/>
    <xf numFmtId="3" fontId="2" fillId="3" borderId="10" xfId="0" applyNumberFormat="1" applyFont="1" applyFill="1" applyBorder="1"/>
    <xf numFmtId="0" fontId="4" fillId="0" borderId="0" xfId="0" applyFont="1" applyBorder="1"/>
    <xf numFmtId="0" fontId="3" fillId="0" borderId="14" xfId="0" applyFont="1" applyBorder="1"/>
    <xf numFmtId="3" fontId="3" fillId="0" borderId="10" xfId="0" applyNumberFormat="1" applyFont="1" applyBorder="1"/>
    <xf numFmtId="0" fontId="3" fillId="3" borderId="12" xfId="0" applyFont="1" applyFill="1" applyBorder="1"/>
    <xf numFmtId="0" fontId="2" fillId="0" borderId="15" xfId="0" applyFont="1" applyFill="1" applyBorder="1"/>
    <xf numFmtId="0" fontId="2" fillId="0" borderId="16" xfId="0" applyFont="1" applyFill="1" applyBorder="1"/>
    <xf numFmtId="0" fontId="2" fillId="0" borderId="17" xfId="0" applyFont="1" applyFill="1" applyBorder="1"/>
    <xf numFmtId="3" fontId="2" fillId="0" borderId="2" xfId="0" applyNumberFormat="1" applyFont="1" applyFill="1" applyBorder="1"/>
    <xf numFmtId="10" fontId="2" fillId="0" borderId="0" xfId="0" applyNumberFormat="1" applyFont="1" applyBorder="1" applyAlignment="1">
      <alignment horizontal="left"/>
    </xf>
    <xf numFmtId="9" fontId="2" fillId="0" borderId="0" xfId="3" applyFont="1" applyBorder="1" applyAlignment="1">
      <alignment horizontal="left"/>
    </xf>
    <xf numFmtId="164" fontId="2" fillId="0" borderId="0" xfId="2" applyFont="1" applyBorder="1" applyAlignment="1">
      <alignment horizontal="left"/>
    </xf>
    <xf numFmtId="164" fontId="2" fillId="0" borderId="9" xfId="2" applyFont="1" applyBorder="1" applyAlignment="1">
      <alignment horizontal="left"/>
    </xf>
    <xf numFmtId="0" fontId="2" fillId="0" borderId="8" xfId="0" applyFont="1" applyFill="1" applyBorder="1" applyAlignment="1">
      <alignment horizontal="right"/>
    </xf>
    <xf numFmtId="3" fontId="2" fillId="0" borderId="0" xfId="0" applyNumberFormat="1" applyFont="1" applyFill="1" applyBorder="1" applyAlignment="1">
      <alignment horizontal="right"/>
    </xf>
    <xf numFmtId="0" fontId="3" fillId="0" borderId="8" xfId="0" applyFont="1" applyFill="1" applyBorder="1"/>
    <xf numFmtId="0" fontId="3" fillId="0" borderId="11" xfId="0" applyFont="1" applyBorder="1"/>
    <xf numFmtId="1" fontId="3" fillId="0" borderId="9" xfId="0" applyNumberFormat="1" applyFont="1" applyBorder="1"/>
    <xf numFmtId="0" fontId="3" fillId="0" borderId="8" xfId="0" applyFont="1" applyBorder="1" applyAlignment="1">
      <alignment horizontal="right"/>
    </xf>
    <xf numFmtId="0" fontId="2" fillId="3" borderId="8" xfId="0" applyFont="1" applyFill="1" applyBorder="1" applyAlignment="1">
      <alignment horizontal="right"/>
    </xf>
    <xf numFmtId="167" fontId="2" fillId="3" borderId="0" xfId="0" applyNumberFormat="1" applyFont="1" applyFill="1" applyBorder="1" applyAlignment="1">
      <alignment horizontal="left"/>
    </xf>
    <xf numFmtId="165" fontId="2" fillId="3" borderId="0" xfId="0" applyNumberFormat="1" applyFont="1" applyFill="1" applyBorder="1" applyAlignment="1">
      <alignment horizontal="left"/>
    </xf>
    <xf numFmtId="9" fontId="2" fillId="3" borderId="0" xfId="3" applyFont="1" applyFill="1" applyBorder="1" applyAlignment="1">
      <alignment horizontal="left"/>
    </xf>
    <xf numFmtId="1" fontId="2" fillId="3" borderId="0" xfId="0" applyNumberFormat="1" applyFont="1" applyFill="1" applyBorder="1" applyAlignment="1">
      <alignment horizontal="left"/>
    </xf>
    <xf numFmtId="3" fontId="3" fillId="0" borderId="9" xfId="0" applyNumberFormat="1" applyFont="1" applyFill="1" applyBorder="1" applyAlignment="1">
      <alignment horizontal="right"/>
    </xf>
    <xf numFmtId="0" fontId="2" fillId="3" borderId="11" xfId="0" applyFont="1" applyFill="1" applyBorder="1" applyAlignment="1">
      <alignment horizontal="right"/>
    </xf>
    <xf numFmtId="10" fontId="2" fillId="0" borderId="12" xfId="0" applyNumberFormat="1" applyFont="1" applyBorder="1" applyAlignment="1">
      <alignment horizontal="left"/>
    </xf>
    <xf numFmtId="0" fontId="0" fillId="0" borderId="8" xfId="0" applyBorder="1"/>
    <xf numFmtId="0" fontId="0" fillId="0" borderId="0" xfId="0" applyBorder="1"/>
    <xf numFmtId="0" fontId="0" fillId="0" borderId="9" xfId="0" applyBorder="1"/>
    <xf numFmtId="0" fontId="0" fillId="0" borderId="11" xfId="0" applyBorder="1"/>
    <xf numFmtId="0" fontId="3" fillId="0" borderId="14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9" xfId="0" applyFont="1" applyFill="1" applyBorder="1"/>
    <xf numFmtId="10" fontId="2" fillId="0" borderId="18" xfId="3" applyNumberFormat="1" applyFont="1" applyFill="1" applyBorder="1"/>
    <xf numFmtId="0" fontId="3" fillId="0" borderId="15" xfId="0" applyFont="1" applyFill="1" applyBorder="1"/>
    <xf numFmtId="3" fontId="3" fillId="0" borderId="19" xfId="0" applyNumberFormat="1" applyFont="1" applyFill="1" applyBorder="1"/>
    <xf numFmtId="0" fontId="3" fillId="0" borderId="11" xfId="0" applyFont="1" applyFill="1" applyBorder="1"/>
    <xf numFmtId="0" fontId="3" fillId="0" borderId="1" xfId="0" applyFont="1" applyFill="1" applyBorder="1"/>
    <xf numFmtId="0" fontId="3" fillId="0" borderId="10" xfId="0" applyFont="1" applyFill="1" applyBorder="1"/>
    <xf numFmtId="2" fontId="3" fillId="0" borderId="0" xfId="0" applyNumberFormat="1" applyFont="1" applyFill="1" applyBorder="1"/>
    <xf numFmtId="0" fontId="3" fillId="0" borderId="11" xfId="0" applyFont="1" applyBorder="1" applyAlignment="1">
      <alignment horizontal="right"/>
    </xf>
    <xf numFmtId="0" fontId="2" fillId="3" borderId="11" xfId="0" applyFont="1" applyFill="1" applyBorder="1"/>
    <xf numFmtId="3" fontId="3" fillId="3" borderId="1" xfId="0" applyNumberFormat="1" applyFont="1" applyFill="1" applyBorder="1"/>
    <xf numFmtId="3" fontId="3" fillId="3" borderId="10" xfId="0" applyNumberFormat="1" applyFont="1" applyFill="1" applyBorder="1"/>
    <xf numFmtId="0" fontId="2" fillId="2" borderId="0" xfId="0" applyFont="1" applyFill="1" applyBorder="1" applyAlignment="1">
      <alignment horizontal="right"/>
    </xf>
    <xf numFmtId="2" fontId="2" fillId="2" borderId="0" xfId="0" applyNumberFormat="1" applyFont="1" applyFill="1" applyBorder="1"/>
    <xf numFmtId="165" fontId="2" fillId="2" borderId="0" xfId="3" applyNumberFormat="1" applyFont="1" applyFill="1" applyBorder="1"/>
    <xf numFmtId="9" fontId="2" fillId="0" borderId="0" xfId="3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9" fontId="4" fillId="0" borderId="0" xfId="3" applyNumberFormat="1" applyFont="1" applyFill="1" applyBorder="1"/>
    <xf numFmtId="169" fontId="2" fillId="0" borderId="0" xfId="0" applyNumberFormat="1" applyFont="1" applyFill="1" applyBorder="1"/>
    <xf numFmtId="0" fontId="0" fillId="0" borderId="14" xfId="0" applyBorder="1"/>
    <xf numFmtId="0" fontId="0" fillId="0" borderId="12" xfId="0" applyBorder="1"/>
    <xf numFmtId="0" fontId="0" fillId="0" borderId="13" xfId="0" applyBorder="1"/>
    <xf numFmtId="9" fontId="3" fillId="0" borderId="9" xfId="0" applyNumberFormat="1" applyFont="1" applyBorder="1"/>
    <xf numFmtId="168" fontId="0" fillId="0" borderId="9" xfId="0" applyNumberFormat="1" applyFill="1" applyBorder="1" applyAlignment="1"/>
    <xf numFmtId="0" fontId="0" fillId="0" borderId="1" xfId="0" applyBorder="1"/>
    <xf numFmtId="0" fontId="0" fillId="0" borderId="10" xfId="0" applyBorder="1"/>
    <xf numFmtId="0" fontId="2" fillId="0" borderId="20" xfId="0" applyFont="1" applyFill="1" applyBorder="1"/>
    <xf numFmtId="3" fontId="2" fillId="0" borderId="21" xfId="0" applyNumberFormat="1" applyFont="1" applyFill="1" applyBorder="1"/>
    <xf numFmtId="3" fontId="2" fillId="0" borderId="22" xfId="0" applyNumberFormat="1" applyFont="1" applyFill="1" applyBorder="1"/>
    <xf numFmtId="0" fontId="2" fillId="3" borderId="23" xfId="0" applyFont="1" applyFill="1" applyBorder="1"/>
    <xf numFmtId="3" fontId="2" fillId="3" borderId="24" xfId="0" applyNumberFormat="1" applyFont="1" applyFill="1" applyBorder="1"/>
    <xf numFmtId="3" fontId="2" fillId="3" borderId="25" xfId="0" applyNumberFormat="1" applyFont="1" applyFill="1" applyBorder="1"/>
    <xf numFmtId="0" fontId="3" fillId="0" borderId="0" xfId="0" applyFont="1" applyAlignment="1">
      <alignment horizontal="right"/>
    </xf>
    <xf numFmtId="165" fontId="3" fillId="0" borderId="0" xfId="3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10" fontId="3" fillId="0" borderId="0" xfId="3" applyNumberFormat="1" applyFont="1"/>
    <xf numFmtId="165" fontId="3" fillId="0" borderId="0" xfId="3" applyNumberFormat="1" applyFont="1"/>
    <xf numFmtId="3" fontId="3" fillId="3" borderId="0" xfId="0" applyNumberFormat="1" applyFont="1" applyFill="1" applyBorder="1"/>
    <xf numFmtId="0" fontId="2" fillId="3" borderId="1" xfId="0" applyFont="1" applyFill="1" applyBorder="1" applyAlignment="1">
      <alignment horizontal="right"/>
    </xf>
    <xf numFmtId="165" fontId="2" fillId="6" borderId="0" xfId="3" applyNumberFormat="1" applyFont="1" applyFill="1" applyBorder="1" applyAlignment="1">
      <alignment horizontal="center"/>
    </xf>
    <xf numFmtId="165" fontId="2" fillId="3" borderId="1" xfId="0" applyNumberFormat="1" applyFont="1" applyFill="1" applyBorder="1" applyAlignment="1">
      <alignment horizontal="left"/>
    </xf>
    <xf numFmtId="0" fontId="2" fillId="0" borderId="2" xfId="0" applyFont="1" applyFill="1" applyBorder="1"/>
    <xf numFmtId="0" fontId="3" fillId="0" borderId="0" xfId="0" applyFont="1" applyFill="1" applyBorder="1" applyAlignment="1">
      <alignment horizontal="right"/>
    </xf>
    <xf numFmtId="0" fontId="2" fillId="9" borderId="0" xfId="0" applyFont="1" applyFill="1" applyBorder="1" applyAlignment="1">
      <alignment horizontal="right"/>
    </xf>
    <xf numFmtId="3" fontId="3" fillId="0" borderId="12" xfId="0" applyNumberFormat="1" applyFont="1" applyBorder="1"/>
    <xf numFmtId="0" fontId="2" fillId="3" borderId="9" xfId="0" applyFont="1" applyFill="1" applyBorder="1"/>
    <xf numFmtId="3" fontId="2" fillId="0" borderId="9" xfId="0" applyNumberFormat="1" applyFont="1" applyFill="1" applyBorder="1"/>
    <xf numFmtId="165" fontId="2" fillId="2" borderId="0" xfId="3" applyNumberFormat="1" applyFont="1" applyFill="1" applyBorder="1" applyAlignment="1">
      <alignment horizontal="center"/>
    </xf>
    <xf numFmtId="9" fontId="2" fillId="6" borderId="9" xfId="3" applyFont="1" applyFill="1" applyBorder="1" applyAlignment="1">
      <alignment horizontal="center"/>
    </xf>
    <xf numFmtId="0" fontId="5" fillId="3" borderId="0" xfId="0" applyFont="1" applyFill="1"/>
    <xf numFmtId="0" fontId="3" fillId="0" borderId="0" xfId="0" applyFont="1" applyAlignment="1">
      <alignment horizontal="center"/>
    </xf>
    <xf numFmtId="166" fontId="3" fillId="0" borderId="0" xfId="0" applyNumberFormat="1" applyFont="1" applyAlignment="1">
      <alignment horizontal="center"/>
    </xf>
    <xf numFmtId="3" fontId="2" fillId="2" borderId="0" xfId="0" applyNumberFormat="1" applyFont="1" applyFill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1" fontId="3" fillId="0" borderId="0" xfId="0" applyNumberFormat="1" applyFont="1" applyBorder="1" applyAlignment="1">
      <alignment horizontal="center"/>
    </xf>
    <xf numFmtId="3" fontId="3" fillId="2" borderId="0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3" fontId="2" fillId="8" borderId="0" xfId="0" applyNumberFormat="1" applyFont="1" applyFill="1" applyBorder="1" applyAlignment="1">
      <alignment horizontal="center"/>
    </xf>
    <xf numFmtId="3" fontId="2" fillId="9" borderId="0" xfId="0" applyNumberFormat="1" applyFont="1" applyFill="1" applyBorder="1" applyAlignment="1">
      <alignment horizontal="center"/>
    </xf>
    <xf numFmtId="3" fontId="2" fillId="7" borderId="0" xfId="0" applyNumberFormat="1" applyFont="1" applyFill="1" applyBorder="1" applyAlignment="1">
      <alignment horizontal="center"/>
    </xf>
    <xf numFmtId="3" fontId="2" fillId="5" borderId="0" xfId="0" applyNumberFormat="1" applyFont="1" applyFill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1" fontId="2" fillId="0" borderId="0" xfId="0" applyNumberFormat="1" applyFont="1" applyBorder="1" applyAlignment="1">
      <alignment horizontal="center"/>
    </xf>
    <xf numFmtId="3" fontId="2" fillId="6" borderId="0" xfId="0" applyNumberFormat="1" applyFont="1" applyFill="1" applyBorder="1" applyAlignment="1">
      <alignment horizontal="center"/>
    </xf>
    <xf numFmtId="1" fontId="2" fillId="2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5" fontId="3" fillId="0" borderId="0" xfId="3" applyNumberFormat="1" applyFont="1" applyBorder="1" applyAlignment="1">
      <alignment horizontal="center"/>
    </xf>
    <xf numFmtId="10" fontId="3" fillId="0" borderId="0" xfId="0" applyNumberFormat="1" applyFont="1" applyBorder="1" applyAlignment="1">
      <alignment horizontal="center"/>
    </xf>
    <xf numFmtId="10" fontId="3" fillId="0" borderId="9" xfId="0" applyNumberFormat="1" applyFont="1" applyBorder="1" applyAlignment="1">
      <alignment horizontal="center"/>
    </xf>
    <xf numFmtId="0" fontId="2" fillId="6" borderId="0" xfId="0" applyFont="1" applyFill="1" applyBorder="1" applyAlignment="1">
      <alignment horizontal="center"/>
    </xf>
    <xf numFmtId="0" fontId="3" fillId="0" borderId="5" xfId="0" applyFont="1" applyFill="1" applyBorder="1"/>
    <xf numFmtId="3" fontId="3" fillId="0" borderId="5" xfId="0" applyNumberFormat="1" applyFont="1" applyFill="1" applyBorder="1"/>
    <xf numFmtId="3" fontId="3" fillId="0" borderId="13" xfId="0" applyNumberFormat="1" applyFont="1" applyBorder="1"/>
    <xf numFmtId="10" fontId="2" fillId="0" borderId="3" xfId="0" applyNumberFormat="1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0" fontId="2" fillId="0" borderId="4" xfId="0" applyNumberFormat="1" applyFont="1" applyBorder="1" applyAlignment="1">
      <alignment horizontal="center"/>
    </xf>
    <xf numFmtId="0" fontId="8" fillId="0" borderId="0" xfId="1" applyFill="1" applyBorder="1" applyAlignment="1" applyProtection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8" fillId="0" borderId="8" xfId="1" applyFont="1" applyFill="1" applyBorder="1" applyAlignment="1" applyProtection="1"/>
    <xf numFmtId="0" fontId="2" fillId="3" borderId="16" xfId="0" applyFont="1" applyFill="1" applyBorder="1" applyAlignment="1">
      <alignment horizontal="right"/>
    </xf>
    <xf numFmtId="0" fontId="2" fillId="3" borderId="14" xfId="0" applyFont="1" applyFill="1" applyBorder="1" applyAlignment="1">
      <alignment horizontal="right"/>
    </xf>
    <xf numFmtId="0" fontId="5" fillId="3" borderId="26" xfId="0" applyFont="1" applyFill="1" applyBorder="1" applyAlignment="1">
      <alignment horizontal="center"/>
    </xf>
    <xf numFmtId="0" fontId="5" fillId="3" borderId="27" xfId="0" applyFont="1" applyFill="1" applyBorder="1" applyAlignment="1">
      <alignment horizontal="center"/>
    </xf>
    <xf numFmtId="0" fontId="2" fillId="3" borderId="27" xfId="0" applyFont="1" applyFill="1" applyBorder="1" applyAlignment="1">
      <alignment horizontal="center"/>
    </xf>
    <xf numFmtId="0" fontId="2" fillId="3" borderId="28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10" fontId="2" fillId="6" borderId="0" xfId="3" applyNumberFormat="1" applyFont="1" applyFill="1" applyBorder="1" applyAlignment="1">
      <alignment horizontal="center"/>
    </xf>
    <xf numFmtId="3" fontId="3" fillId="0" borderId="8" xfId="0" applyNumberFormat="1" applyFont="1" applyBorder="1"/>
    <xf numFmtId="1" fontId="2" fillId="3" borderId="7" xfId="0" applyNumberFormat="1" applyFont="1" applyFill="1" applyBorder="1"/>
    <xf numFmtId="171" fontId="2" fillId="0" borderId="0" xfId="0" applyNumberFormat="1" applyFont="1" applyFill="1" applyBorder="1" applyAlignment="1">
      <alignment horizontal="center"/>
    </xf>
    <xf numFmtId="1" fontId="2" fillId="3" borderId="5" xfId="0" applyNumberFormat="1" applyFont="1" applyFill="1" applyBorder="1"/>
    <xf numFmtId="0" fontId="0" fillId="0" borderId="0" xfId="0" applyAlignment="1">
      <alignment horizontal="center"/>
    </xf>
    <xf numFmtId="1" fontId="2" fillId="0" borderId="8" xfId="0" applyNumberFormat="1" applyFont="1" applyFill="1" applyBorder="1"/>
    <xf numFmtId="3" fontId="10" fillId="0" borderId="0" xfId="0" applyNumberFormat="1" applyFont="1" applyFill="1" applyBorder="1"/>
    <xf numFmtId="0" fontId="2" fillId="0" borderId="9" xfId="0" applyFont="1" applyFill="1" applyBorder="1"/>
    <xf numFmtId="3" fontId="2" fillId="0" borderId="2" xfId="0" applyNumberFormat="1" applyFont="1" applyBorder="1"/>
    <xf numFmtId="0" fontId="2" fillId="0" borderId="23" xfId="0" applyFont="1" applyBorder="1"/>
    <xf numFmtId="1" fontId="2" fillId="0" borderId="24" xfId="0" applyNumberFormat="1" applyFont="1" applyBorder="1"/>
    <xf numFmtId="0" fontId="2" fillId="0" borderId="17" xfId="0" applyFont="1" applyBorder="1"/>
    <xf numFmtId="0" fontId="2" fillId="3" borderId="0" xfId="0" applyFont="1" applyFill="1" applyAlignment="1">
      <alignment horizontal="right"/>
    </xf>
    <xf numFmtId="0" fontId="2" fillId="0" borderId="12" xfId="0" applyFont="1" applyBorder="1" applyAlignment="1">
      <alignment horizontal="left"/>
    </xf>
    <xf numFmtId="0" fontId="2" fillId="0" borderId="12" xfId="0" applyFont="1" applyBorder="1"/>
    <xf numFmtId="1" fontId="2" fillId="3" borderId="0" xfId="0" applyNumberFormat="1" applyFont="1" applyFill="1" applyBorder="1"/>
    <xf numFmtId="1" fontId="2" fillId="3" borderId="8" xfId="0" applyNumberFormat="1" applyFont="1" applyFill="1" applyBorder="1"/>
    <xf numFmtId="1" fontId="2" fillId="3" borderId="9" xfId="0" applyNumberFormat="1" applyFont="1" applyFill="1" applyBorder="1"/>
    <xf numFmtId="3" fontId="3" fillId="0" borderId="29" xfId="0" applyNumberFormat="1" applyFont="1" applyFill="1" applyBorder="1"/>
    <xf numFmtId="173" fontId="3" fillId="0" borderId="0" xfId="0" applyNumberFormat="1" applyFont="1"/>
    <xf numFmtId="0" fontId="9" fillId="0" borderId="0" xfId="0" applyFont="1" applyFill="1" applyBorder="1"/>
    <xf numFmtId="0" fontId="9" fillId="0" borderId="0" xfId="0" applyFont="1"/>
    <xf numFmtId="0" fontId="11" fillId="0" borderId="0" xfId="0" applyFont="1" applyFill="1" applyBorder="1"/>
    <xf numFmtId="170" fontId="11" fillId="0" borderId="0" xfId="0" applyNumberFormat="1" applyFont="1" applyFill="1" applyBorder="1"/>
    <xf numFmtId="0" fontId="11" fillId="0" borderId="0" xfId="0" applyFont="1" applyFill="1" applyBorder="1" applyAlignment="1">
      <alignment horizontal="left"/>
    </xf>
    <xf numFmtId="0" fontId="11" fillId="0" borderId="0" xfId="0" applyFont="1" applyBorder="1"/>
    <xf numFmtId="0" fontId="11" fillId="0" borderId="0" xfId="0" applyFont="1" applyBorder="1" applyAlignment="1">
      <alignment horizontal="left"/>
    </xf>
    <xf numFmtId="3" fontId="3" fillId="0" borderId="24" xfId="0" applyNumberFormat="1" applyFont="1" applyBorder="1"/>
    <xf numFmtId="0" fontId="3" fillId="3" borderId="0" xfId="0" applyFont="1" applyFill="1" applyBorder="1" applyAlignment="1">
      <alignment horizontal="center"/>
    </xf>
    <xf numFmtId="0" fontId="2" fillId="5" borderId="0" xfId="0" applyFont="1" applyFill="1" applyAlignment="1">
      <alignment horizontal="center"/>
    </xf>
    <xf numFmtId="167" fontId="2" fillId="5" borderId="0" xfId="0" applyNumberFormat="1" applyFont="1" applyFill="1" applyBorder="1" applyAlignment="1">
      <alignment horizontal="center"/>
    </xf>
    <xf numFmtId="165" fontId="2" fillId="5" borderId="0" xfId="3" applyNumberFormat="1" applyFont="1" applyFill="1" applyBorder="1" applyAlignment="1">
      <alignment horizontal="center"/>
    </xf>
    <xf numFmtId="3" fontId="2" fillId="5" borderId="0" xfId="0" applyNumberFormat="1" applyFont="1" applyFill="1" applyAlignment="1">
      <alignment horizontal="center"/>
    </xf>
    <xf numFmtId="0" fontId="3" fillId="0" borderId="12" xfId="0" applyFont="1" applyBorder="1" applyAlignment="1">
      <alignment horizontal="center"/>
    </xf>
    <xf numFmtId="3" fontId="0" fillId="0" borderId="0" xfId="0" applyNumberFormat="1" applyAlignment="1">
      <alignment horizontal="center"/>
    </xf>
    <xf numFmtId="172" fontId="3" fillId="0" borderId="24" xfId="0" applyNumberFormat="1" applyFont="1" applyBorder="1" applyAlignment="1">
      <alignment horizontal="right"/>
    </xf>
    <xf numFmtId="165" fontId="3" fillId="0" borderId="0" xfId="3" applyNumberFormat="1" applyFont="1" applyFill="1" applyBorder="1"/>
    <xf numFmtId="1" fontId="2" fillId="3" borderId="12" xfId="0" applyNumberFormat="1" applyFont="1" applyFill="1" applyBorder="1"/>
    <xf numFmtId="3" fontId="3" fillId="0" borderId="0" xfId="3" applyNumberFormat="1" applyFont="1" applyFill="1" applyBorder="1" applyAlignment="1">
      <alignment horizontal="center"/>
    </xf>
    <xf numFmtId="3" fontId="2" fillId="0" borderId="0" xfId="3" applyNumberFormat="1" applyFont="1" applyFill="1" applyBorder="1" applyAlignment="1">
      <alignment horizontal="center"/>
    </xf>
    <xf numFmtId="3" fontId="2" fillId="10" borderId="0" xfId="0" applyNumberFormat="1" applyFont="1" applyFill="1" applyBorder="1" applyAlignment="1">
      <alignment horizontal="center"/>
    </xf>
    <xf numFmtId="165" fontId="2" fillId="10" borderId="0" xfId="3" applyNumberFormat="1" applyFont="1" applyFill="1" applyBorder="1" applyAlignment="1">
      <alignment horizontal="center"/>
    </xf>
    <xf numFmtId="0" fontId="3" fillId="0" borderId="33" xfId="0" applyFont="1" applyBorder="1" applyAlignment="1">
      <alignment horizontal="right"/>
    </xf>
    <xf numFmtId="0" fontId="3" fillId="0" borderId="31" xfId="0" applyFont="1" applyBorder="1" applyAlignment="1">
      <alignment horizontal="right"/>
    </xf>
    <xf numFmtId="0" fontId="3" fillId="0" borderId="36" xfId="0" applyFont="1" applyBorder="1" applyAlignment="1">
      <alignment horizontal="right"/>
    </xf>
    <xf numFmtId="0" fontId="3" fillId="0" borderId="30" xfId="0" applyFont="1" applyFill="1" applyBorder="1" applyAlignment="1">
      <alignment horizontal="right"/>
    </xf>
    <xf numFmtId="3" fontId="3" fillId="0" borderId="7" xfId="0" applyNumberFormat="1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0" fontId="2" fillId="3" borderId="14" xfId="0" applyFont="1" applyFill="1" applyBorder="1"/>
    <xf numFmtId="9" fontId="2" fillId="3" borderId="9" xfId="3" applyFont="1" applyFill="1" applyBorder="1" applyAlignment="1">
      <alignment horizontal="center"/>
    </xf>
    <xf numFmtId="3" fontId="2" fillId="6" borderId="1" xfId="0" applyNumberFormat="1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9" fontId="2" fillId="6" borderId="1" xfId="3" applyFont="1" applyFill="1" applyBorder="1" applyAlignment="1">
      <alignment horizontal="center"/>
    </xf>
    <xf numFmtId="9" fontId="2" fillId="6" borderId="10" xfId="3" applyFont="1" applyFill="1" applyBorder="1" applyAlignment="1">
      <alignment horizontal="center"/>
    </xf>
    <xf numFmtId="9" fontId="2" fillId="10" borderId="0" xfId="3" applyFont="1" applyFill="1" applyBorder="1" applyAlignment="1">
      <alignment horizontal="center"/>
    </xf>
    <xf numFmtId="0" fontId="0" fillId="0" borderId="33" xfId="0" applyBorder="1"/>
    <xf numFmtId="0" fontId="1" fillId="0" borderId="21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1" xfId="0" applyBorder="1"/>
    <xf numFmtId="0" fontId="0" fillId="0" borderId="0" xfId="0" applyBorder="1" applyAlignment="1">
      <alignment horizontal="center"/>
    </xf>
    <xf numFmtId="0" fontId="0" fillId="0" borderId="35" xfId="0" applyBorder="1" applyAlignment="1">
      <alignment horizontal="center"/>
    </xf>
    <xf numFmtId="3" fontId="2" fillId="6" borderId="7" xfId="0" applyNumberFormat="1" applyFont="1" applyFill="1" applyBorder="1" applyAlignment="1">
      <alignment horizontal="center"/>
    </xf>
    <xf numFmtId="0" fontId="4" fillId="0" borderId="33" xfId="0" applyFont="1" applyBorder="1"/>
    <xf numFmtId="3" fontId="2" fillId="0" borderId="21" xfId="0" applyNumberFormat="1" applyFont="1" applyBorder="1" applyAlignment="1">
      <alignment horizontal="center"/>
    </xf>
    <xf numFmtId="3" fontId="2" fillId="0" borderId="34" xfId="0" applyNumberFormat="1" applyFont="1" applyBorder="1" applyAlignment="1">
      <alignment horizontal="center"/>
    </xf>
    <xf numFmtId="3" fontId="3" fillId="0" borderId="31" xfId="0" applyNumberFormat="1" applyFont="1" applyBorder="1" applyAlignment="1">
      <alignment horizontal="right"/>
    </xf>
    <xf numFmtId="3" fontId="3" fillId="0" borderId="35" xfId="3" applyNumberFormat="1" applyFont="1" applyFill="1" applyBorder="1" applyAlignment="1">
      <alignment horizontal="center"/>
    </xf>
    <xf numFmtId="3" fontId="3" fillId="0" borderId="36" xfId="3" applyNumberFormat="1" applyFont="1" applyFill="1" applyBorder="1" applyAlignment="1">
      <alignment horizontal="right"/>
    </xf>
    <xf numFmtId="3" fontId="2" fillId="6" borderId="37" xfId="0" applyNumberFormat="1" applyFont="1" applyFill="1" applyBorder="1" applyAlignment="1">
      <alignment horizontal="center"/>
    </xf>
    <xf numFmtId="0" fontId="2" fillId="6" borderId="34" xfId="0" applyFont="1" applyFill="1" applyBorder="1" applyAlignment="1">
      <alignment horizontal="center"/>
    </xf>
    <xf numFmtId="0" fontId="2" fillId="6" borderId="35" xfId="0" applyFont="1" applyFill="1" applyBorder="1" applyAlignment="1">
      <alignment horizontal="center"/>
    </xf>
    <xf numFmtId="0" fontId="2" fillId="0" borderId="33" xfId="0" applyFont="1" applyBorder="1" applyAlignment="1">
      <alignment horizontal="right"/>
    </xf>
    <xf numFmtId="0" fontId="2" fillId="0" borderId="31" xfId="0" applyFont="1" applyBorder="1" applyAlignment="1">
      <alignment horizontal="right"/>
    </xf>
    <xf numFmtId="0" fontId="2" fillId="0" borderId="36" xfId="0" applyFont="1" applyBorder="1" applyAlignment="1">
      <alignment horizontal="right"/>
    </xf>
    <xf numFmtId="1" fontId="1" fillId="0" borderId="0" xfId="0" applyNumberFormat="1" applyFont="1" applyAlignment="1">
      <alignment horizontal="right"/>
    </xf>
    <xf numFmtId="1" fontId="2" fillId="3" borderId="18" xfId="0" applyNumberFormat="1" applyFont="1" applyFill="1" applyBorder="1"/>
    <xf numFmtId="3" fontId="2" fillId="0" borderId="19" xfId="0" applyNumberFormat="1" applyFont="1" applyFill="1" applyBorder="1"/>
    <xf numFmtId="3" fontId="2" fillId="0" borderId="41" xfId="0" applyNumberFormat="1" applyFont="1" applyFill="1" applyBorder="1"/>
    <xf numFmtId="0" fontId="3" fillId="0" borderId="14" xfId="0" applyFont="1" applyFill="1" applyBorder="1" applyAlignment="1">
      <alignment horizontal="right"/>
    </xf>
    <xf numFmtId="3" fontId="3" fillId="0" borderId="12" xfId="0" applyNumberFormat="1" applyFont="1" applyFill="1" applyBorder="1"/>
    <xf numFmtId="3" fontId="3" fillId="0" borderId="13" xfId="0" applyNumberFormat="1" applyFont="1" applyFill="1" applyBorder="1"/>
    <xf numFmtId="1" fontId="2" fillId="3" borderId="12" xfId="0" applyNumberFormat="1" applyFont="1" applyFill="1" applyBorder="1" applyAlignment="1">
      <alignment horizontal="center"/>
    </xf>
    <xf numFmtId="1" fontId="2" fillId="3" borderId="13" xfId="0" applyNumberFormat="1" applyFont="1" applyFill="1" applyBorder="1" applyAlignment="1">
      <alignment horizontal="center"/>
    </xf>
    <xf numFmtId="3" fontId="3" fillId="0" borderId="9" xfId="0" applyNumberFormat="1" applyFont="1" applyBorder="1" applyAlignment="1">
      <alignment horizontal="center"/>
    </xf>
    <xf numFmtId="3" fontId="3" fillId="0" borderId="29" xfId="0" applyNumberFormat="1" applyFont="1" applyBorder="1" applyAlignment="1">
      <alignment horizontal="center"/>
    </xf>
    <xf numFmtId="170" fontId="3" fillId="0" borderId="8" xfId="0" applyNumberFormat="1" applyFont="1" applyFill="1" applyBorder="1" applyAlignment="1">
      <alignment horizontal="right"/>
    </xf>
    <xf numFmtId="0" fontId="3" fillId="0" borderId="42" xfId="0" applyFont="1" applyFill="1" applyBorder="1" applyAlignment="1">
      <alignment horizontal="right"/>
    </xf>
    <xf numFmtId="0" fontId="2" fillId="0" borderId="8" xfId="0" applyFont="1" applyFill="1" applyBorder="1" applyAlignment="1">
      <alignment horizontal="left"/>
    </xf>
    <xf numFmtId="0" fontId="2" fillId="0" borderId="17" xfId="0" applyFont="1" applyFill="1" applyBorder="1" applyAlignment="1">
      <alignment horizontal="left"/>
    </xf>
    <xf numFmtId="3" fontId="3" fillId="0" borderId="41" xfId="0" applyNumberFormat="1" applyFont="1" applyBorder="1" applyAlignment="1">
      <alignment horizontal="center"/>
    </xf>
    <xf numFmtId="0" fontId="2" fillId="0" borderId="14" xfId="0" applyFont="1" applyBorder="1" applyAlignment="1">
      <alignment horizontal="left"/>
    </xf>
    <xf numFmtId="3" fontId="3" fillId="0" borderId="12" xfId="0" applyNumberFormat="1" applyFont="1" applyBorder="1" applyAlignment="1">
      <alignment horizontal="center"/>
    </xf>
    <xf numFmtId="3" fontId="3" fillId="0" borderId="13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3" fontId="3" fillId="0" borderId="10" xfId="0" applyNumberFormat="1" applyFont="1" applyBorder="1" applyAlignment="1">
      <alignment horizontal="center"/>
    </xf>
    <xf numFmtId="0" fontId="2" fillId="0" borderId="12" xfId="0" applyFont="1" applyFill="1" applyBorder="1" applyAlignment="1">
      <alignment horizontal="right"/>
    </xf>
    <xf numFmtId="0" fontId="2" fillId="0" borderId="1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3" fontId="2" fillId="10" borderId="8" xfId="0" applyNumberFormat="1" applyFont="1" applyFill="1" applyBorder="1" applyAlignment="1">
      <alignment horizontal="center"/>
    </xf>
    <xf numFmtId="3" fontId="3" fillId="3" borderId="9" xfId="0" applyNumberFormat="1" applyFont="1" applyFill="1" applyBorder="1"/>
    <xf numFmtId="3" fontId="2" fillId="10" borderId="11" xfId="0" applyNumberFormat="1" applyFont="1" applyFill="1" applyBorder="1" applyAlignment="1">
      <alignment horizontal="center"/>
    </xf>
    <xf numFmtId="9" fontId="2" fillId="10" borderId="1" xfId="3" applyFont="1" applyFill="1" applyBorder="1" applyAlignment="1">
      <alignment horizontal="center"/>
    </xf>
    <xf numFmtId="3" fontId="2" fillId="3" borderId="1" xfId="0" applyNumberFormat="1" applyFont="1" applyFill="1" applyBorder="1" applyAlignment="1">
      <alignment horizontal="center"/>
    </xf>
    <xf numFmtId="3" fontId="3" fillId="3" borderId="8" xfId="0" applyNumberFormat="1" applyFont="1" applyFill="1" applyBorder="1"/>
    <xf numFmtId="3" fontId="3" fillId="0" borderId="11" xfId="0" applyNumberFormat="1" applyFont="1" applyBorder="1"/>
    <xf numFmtId="0" fontId="2" fillId="6" borderId="37" xfId="0" applyFont="1" applyFill="1" applyBorder="1" applyAlignment="1">
      <alignment horizontal="center"/>
    </xf>
    <xf numFmtId="0" fontId="3" fillId="11" borderId="0" xfId="0" applyFont="1" applyFill="1"/>
    <xf numFmtId="3" fontId="2" fillId="0" borderId="12" xfId="0" applyNumberFormat="1" applyFont="1" applyFill="1" applyBorder="1"/>
    <xf numFmtId="3" fontId="2" fillId="0" borderId="13" xfId="0" applyNumberFormat="1" applyFont="1" applyFill="1" applyBorder="1"/>
    <xf numFmtId="0" fontId="3" fillId="3" borderId="14" xfId="0" applyFont="1" applyFill="1" applyBorder="1"/>
    <xf numFmtId="1" fontId="2" fillId="3" borderId="43" xfId="0" applyNumberFormat="1" applyFont="1" applyFill="1" applyBorder="1"/>
    <xf numFmtId="1" fontId="2" fillId="3" borderId="44" xfId="0" applyNumberFormat="1" applyFont="1" applyFill="1" applyBorder="1"/>
    <xf numFmtId="9" fontId="3" fillId="0" borderId="0" xfId="3" applyFont="1" applyBorder="1" applyAlignment="1">
      <alignment horizontal="center"/>
    </xf>
    <xf numFmtId="9" fontId="2" fillId="0" borderId="8" xfId="3" applyFont="1" applyBorder="1" applyAlignment="1">
      <alignment horizontal="right"/>
    </xf>
    <xf numFmtId="9" fontId="2" fillId="0" borderId="11" xfId="3" applyFont="1" applyBorder="1" applyAlignment="1">
      <alignment horizontal="right"/>
    </xf>
    <xf numFmtId="166" fontId="3" fillId="0" borderId="1" xfId="2" applyNumberFormat="1" applyFont="1" applyBorder="1" applyAlignment="1">
      <alignment horizontal="center"/>
    </xf>
    <xf numFmtId="166" fontId="3" fillId="0" borderId="10" xfId="2" applyNumberFormat="1" applyFont="1" applyBorder="1" applyAlignment="1">
      <alignment horizontal="center"/>
    </xf>
    <xf numFmtId="1" fontId="2" fillId="3" borderId="13" xfId="0" applyNumberFormat="1" applyFont="1" applyFill="1" applyBorder="1"/>
    <xf numFmtId="0" fontId="3" fillId="0" borderId="14" xfId="0" applyFont="1" applyBorder="1" applyAlignment="1">
      <alignment horizontal="right"/>
    </xf>
    <xf numFmtId="1" fontId="2" fillId="3" borderId="1" xfId="0" applyNumberFormat="1" applyFont="1" applyFill="1" applyBorder="1" applyAlignment="1">
      <alignment horizontal="left"/>
    </xf>
    <xf numFmtId="0" fontId="2" fillId="3" borderId="9" xfId="0" applyFont="1" applyFill="1" applyBorder="1" applyAlignment="1">
      <alignment horizontal="center"/>
    </xf>
    <xf numFmtId="165" fontId="3" fillId="6" borderId="12" xfId="3" applyNumberFormat="1" applyFont="1" applyFill="1" applyBorder="1" applyAlignment="1">
      <alignment horizontal="center"/>
    </xf>
    <xf numFmtId="165" fontId="3" fillId="6" borderId="13" xfId="3" applyNumberFormat="1" applyFont="1" applyFill="1" applyBorder="1" applyAlignment="1">
      <alignment horizontal="center"/>
    </xf>
    <xf numFmtId="165" fontId="3" fillId="10" borderId="0" xfId="3" applyNumberFormat="1" applyFont="1" applyFill="1" applyBorder="1" applyAlignment="1">
      <alignment horizontal="center"/>
    </xf>
    <xf numFmtId="165" fontId="3" fillId="10" borderId="9" xfId="3" applyNumberFormat="1" applyFont="1" applyFill="1" applyBorder="1" applyAlignment="1">
      <alignment horizontal="center"/>
    </xf>
    <xf numFmtId="165" fontId="3" fillId="10" borderId="1" xfId="3" applyNumberFormat="1" applyFont="1" applyFill="1" applyBorder="1" applyAlignment="1">
      <alignment horizontal="center"/>
    </xf>
    <xf numFmtId="165" fontId="3" fillId="10" borderId="10" xfId="3" applyNumberFormat="1" applyFont="1" applyFill="1" applyBorder="1" applyAlignment="1">
      <alignment horizontal="center"/>
    </xf>
    <xf numFmtId="0" fontId="3" fillId="10" borderId="0" xfId="0" applyFont="1" applyFill="1" applyBorder="1" applyAlignment="1">
      <alignment horizontal="center"/>
    </xf>
    <xf numFmtId="3" fontId="2" fillId="11" borderId="0" xfId="0" applyNumberFormat="1" applyFont="1" applyFill="1" applyBorder="1" applyAlignment="1">
      <alignment horizontal="center"/>
    </xf>
    <xf numFmtId="9" fontId="2" fillId="11" borderId="0" xfId="3" applyFont="1" applyFill="1" applyBorder="1" applyAlignment="1">
      <alignment horizontal="center"/>
    </xf>
    <xf numFmtId="3" fontId="2" fillId="11" borderId="1" xfId="0" applyNumberFormat="1" applyFont="1" applyFill="1" applyBorder="1" applyAlignment="1">
      <alignment horizontal="center"/>
    </xf>
    <xf numFmtId="9" fontId="2" fillId="11" borderId="1" xfId="3" applyFont="1" applyFill="1" applyBorder="1" applyAlignment="1">
      <alignment horizontal="center"/>
    </xf>
    <xf numFmtId="0" fontId="3" fillId="11" borderId="0" xfId="0" applyFont="1" applyFill="1" applyAlignment="1">
      <alignment horizontal="right"/>
    </xf>
    <xf numFmtId="165" fontId="3" fillId="11" borderId="0" xfId="3" applyNumberFormat="1" applyFont="1" applyFill="1" applyAlignment="1">
      <alignment horizontal="left"/>
    </xf>
    <xf numFmtId="0" fontId="3" fillId="0" borderId="45" xfId="0" applyFont="1" applyBorder="1" applyAlignment="1">
      <alignment horizontal="right"/>
    </xf>
    <xf numFmtId="0" fontId="2" fillId="6" borderId="46" xfId="0" applyFont="1" applyFill="1" applyBorder="1" applyAlignment="1">
      <alignment horizontal="center"/>
    </xf>
    <xf numFmtId="0" fontId="3" fillId="10" borderId="0" xfId="0" applyFont="1" applyFill="1" applyBorder="1"/>
    <xf numFmtId="9" fontId="3" fillId="10" borderId="0" xfId="0" applyNumberFormat="1" applyFont="1" applyFill="1" applyBorder="1"/>
    <xf numFmtId="9" fontId="3" fillId="10" borderId="9" xfId="0" applyNumberFormat="1" applyFont="1" applyFill="1" applyBorder="1"/>
    <xf numFmtId="0" fontId="2" fillId="0" borderId="45" xfId="0" applyFont="1" applyBorder="1" applyAlignment="1">
      <alignment horizontal="right"/>
    </xf>
    <xf numFmtId="0" fontId="2" fillId="3" borderId="13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165" fontId="2" fillId="6" borderId="6" xfId="3" applyNumberFormat="1" applyFont="1" applyFill="1" applyBorder="1" applyAlignment="1">
      <alignment horizontal="center"/>
    </xf>
    <xf numFmtId="165" fontId="2" fillId="6" borderId="46" xfId="3" applyNumberFormat="1" applyFont="1" applyFill="1" applyBorder="1" applyAlignment="1">
      <alignment horizontal="center"/>
    </xf>
    <xf numFmtId="165" fontId="3" fillId="6" borderId="1" xfId="3" applyNumberFormat="1" applyFont="1" applyFill="1" applyBorder="1" applyAlignment="1">
      <alignment horizontal="center"/>
    </xf>
    <xf numFmtId="0" fontId="2" fillId="3" borderId="25" xfId="0" applyFont="1" applyFill="1" applyBorder="1"/>
    <xf numFmtId="0" fontId="2" fillId="0" borderId="42" xfId="0" applyFont="1" applyFill="1" applyBorder="1"/>
    <xf numFmtId="0" fontId="2" fillId="3" borderId="23" xfId="0" applyFont="1" applyFill="1" applyBorder="1" applyAlignment="1">
      <alignment horizontal="right"/>
    </xf>
    <xf numFmtId="10" fontId="2" fillId="3" borderId="24" xfId="0" applyNumberFormat="1" applyFont="1" applyFill="1" applyBorder="1" applyAlignment="1">
      <alignment horizontal="left"/>
    </xf>
    <xf numFmtId="0" fontId="3" fillId="0" borderId="24" xfId="0" applyFont="1" applyBorder="1"/>
    <xf numFmtId="0" fontId="3" fillId="0" borderId="25" xfId="0" applyFont="1" applyBorder="1"/>
    <xf numFmtId="0" fontId="1" fillId="0" borderId="0" xfId="0" applyFont="1"/>
    <xf numFmtId="0" fontId="5" fillId="0" borderId="0" xfId="0" applyFont="1"/>
    <xf numFmtId="0" fontId="0" fillId="0" borderId="0" xfId="0" applyAlignment="1">
      <alignment horizontal="right"/>
    </xf>
    <xf numFmtId="174" fontId="0" fillId="0" borderId="0" xfId="0" applyNumberFormat="1" applyBorder="1"/>
    <xf numFmtId="0" fontId="0" fillId="0" borderId="8" xfId="0" applyBorder="1" applyAlignment="1">
      <alignment horizontal="right"/>
    </xf>
    <xf numFmtId="174" fontId="0" fillId="0" borderId="9" xfId="0" applyNumberFormat="1" applyBorder="1"/>
    <xf numFmtId="174" fontId="0" fillId="0" borderId="1" xfId="0" applyNumberFormat="1" applyBorder="1"/>
    <xf numFmtId="174" fontId="0" fillId="0" borderId="10" xfId="0" applyNumberFormat="1" applyBorder="1"/>
    <xf numFmtId="174" fontId="0" fillId="0" borderId="12" xfId="0" applyNumberFormat="1" applyBorder="1"/>
    <xf numFmtId="174" fontId="0" fillId="0" borderId="13" xfId="0" applyNumberFormat="1" applyBorder="1"/>
    <xf numFmtId="10" fontId="2" fillId="0" borderId="35" xfId="0" applyNumberFormat="1" applyFont="1" applyBorder="1" applyAlignment="1">
      <alignment horizontal="center"/>
    </xf>
    <xf numFmtId="1" fontId="2" fillId="0" borderId="35" xfId="0" applyNumberFormat="1" applyFont="1" applyBorder="1" applyAlignment="1">
      <alignment horizontal="center"/>
    </xf>
    <xf numFmtId="10" fontId="2" fillId="0" borderId="47" xfId="0" applyNumberFormat="1" applyFont="1" applyBorder="1" applyAlignment="1">
      <alignment horizontal="center"/>
    </xf>
    <xf numFmtId="167" fontId="2" fillId="0" borderId="48" xfId="0" applyNumberFormat="1" applyFont="1" applyBorder="1"/>
    <xf numFmtId="10" fontId="2" fillId="0" borderId="49" xfId="0" applyNumberFormat="1" applyFont="1" applyBorder="1"/>
    <xf numFmtId="1" fontId="2" fillId="0" borderId="49" xfId="0" applyNumberFormat="1" applyFont="1" applyBorder="1"/>
    <xf numFmtId="10" fontId="2" fillId="0" borderId="50" xfId="0" applyNumberFormat="1" applyFont="1" applyBorder="1"/>
    <xf numFmtId="165" fontId="0" fillId="0" borderId="0" xfId="0" applyNumberFormat="1" applyBorder="1" applyAlignment="1">
      <alignment horizontal="center"/>
    </xf>
    <xf numFmtId="165" fontId="0" fillId="0" borderId="9" xfId="0" applyNumberFormat="1" applyBorder="1" applyAlignment="1">
      <alignment horizontal="center"/>
    </xf>
    <xf numFmtId="174" fontId="0" fillId="0" borderId="0" xfId="0" applyNumberFormat="1" applyBorder="1" applyAlignment="1">
      <alignment horizontal="center"/>
    </xf>
    <xf numFmtId="174" fontId="0" fillId="0" borderId="9" xfId="0" applyNumberFormat="1" applyBorder="1" applyAlignment="1">
      <alignment horizontal="center"/>
    </xf>
    <xf numFmtId="174" fontId="0" fillId="0" borderId="1" xfId="0" applyNumberFormat="1" applyBorder="1" applyAlignment="1">
      <alignment horizontal="center"/>
    </xf>
    <xf numFmtId="174" fontId="0" fillId="0" borderId="10" xfId="0" applyNumberFormat="1" applyBorder="1" applyAlignment="1">
      <alignment horizontal="center"/>
    </xf>
    <xf numFmtId="174" fontId="12" fillId="0" borderId="8" xfId="0" applyNumberFormat="1" applyFont="1" applyBorder="1"/>
    <xf numFmtId="174" fontId="12" fillId="0" borderId="11" xfId="0" applyNumberFormat="1" applyFont="1" applyBorder="1"/>
    <xf numFmtId="0" fontId="3" fillId="11" borderId="0" xfId="0" applyFont="1" applyFill="1" applyAlignment="1">
      <alignment horizontal="center"/>
    </xf>
    <xf numFmtId="0" fontId="2" fillId="11" borderId="0" xfId="0" applyFont="1" applyFill="1"/>
    <xf numFmtId="167" fontId="2" fillId="0" borderId="40" xfId="0" applyNumberFormat="1" applyFont="1" applyBorder="1" applyAlignment="1">
      <alignment horizontal="center"/>
    </xf>
    <xf numFmtId="167" fontId="2" fillId="0" borderId="32" xfId="0" applyNumberFormat="1" applyFont="1" applyBorder="1" applyAlignment="1">
      <alignment horizontal="center"/>
    </xf>
    <xf numFmtId="167" fontId="2" fillId="0" borderId="51" xfId="0" applyNumberFormat="1" applyFont="1" applyBorder="1" applyAlignment="1">
      <alignment horizontal="center"/>
    </xf>
    <xf numFmtId="10" fontId="2" fillId="0" borderId="52" xfId="0" applyNumberFormat="1" applyFont="1" applyBorder="1" applyAlignment="1">
      <alignment horizontal="center"/>
    </xf>
    <xf numFmtId="1" fontId="2" fillId="0" borderId="52" xfId="0" applyNumberFormat="1" applyFont="1" applyBorder="1" applyAlignment="1">
      <alignment horizontal="center"/>
    </xf>
    <xf numFmtId="10" fontId="2" fillId="0" borderId="53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1" fillId="0" borderId="0" xfId="4" applyFont="1"/>
    <xf numFmtId="0" fontId="1" fillId="0" borderId="0" xfId="4"/>
    <xf numFmtId="0" fontId="1" fillId="0" borderId="14" xfId="4" applyFont="1" applyBorder="1"/>
    <xf numFmtId="0" fontId="1" fillId="0" borderId="8" xfId="4" applyFont="1" applyBorder="1"/>
    <xf numFmtId="0" fontId="1" fillId="0" borderId="0" xfId="4" applyFont="1" applyBorder="1"/>
    <xf numFmtId="0" fontId="1" fillId="0" borderId="11" xfId="4" applyFont="1" applyBorder="1"/>
    <xf numFmtId="0" fontId="5" fillId="0" borderId="0" xfId="4" applyFont="1" applyAlignment="1">
      <alignment horizontal="center"/>
    </xf>
    <xf numFmtId="3" fontId="1" fillId="0" borderId="0" xfId="4" applyNumberFormat="1" applyFont="1"/>
    <xf numFmtId="9" fontId="0" fillId="0" borderId="13" xfId="3" applyFont="1" applyBorder="1" applyAlignment="1">
      <alignment horizontal="center"/>
    </xf>
    <xf numFmtId="3" fontId="1" fillId="0" borderId="9" xfId="4" applyNumberFormat="1" applyBorder="1"/>
    <xf numFmtId="3" fontId="1" fillId="0" borderId="10" xfId="4" applyNumberFormat="1" applyBorder="1"/>
    <xf numFmtId="0" fontId="1" fillId="0" borderId="54" xfId="4" applyFont="1" applyBorder="1" applyAlignment="1">
      <alignment horizontal="center"/>
    </xf>
    <xf numFmtId="0" fontId="1" fillId="0" borderId="43" xfId="4" applyFont="1" applyBorder="1" applyAlignment="1">
      <alignment horizontal="center"/>
    </xf>
    <xf numFmtId="0" fontId="1" fillId="0" borderId="44" xfId="4" applyFont="1" applyBorder="1" applyAlignment="1">
      <alignment horizontal="center"/>
    </xf>
    <xf numFmtId="0" fontId="1" fillId="0" borderId="8" xfId="4" applyFont="1" applyBorder="1" applyAlignment="1">
      <alignment horizontal="center"/>
    </xf>
    <xf numFmtId="3" fontId="14" fillId="12" borderId="0" xfId="5" applyNumberFormat="1" applyFont="1" applyFill="1" applyBorder="1" applyAlignment="1">
      <alignment horizontal="center" vertical="center"/>
    </xf>
    <xf numFmtId="0" fontId="1" fillId="0" borderId="9" xfId="4" applyBorder="1" applyAlignment="1">
      <alignment horizontal="center"/>
    </xf>
    <xf numFmtId="9" fontId="14" fillId="12" borderId="0" xfId="3" applyFont="1" applyFill="1" applyBorder="1" applyAlignment="1">
      <alignment horizontal="center" vertical="center"/>
    </xf>
    <xf numFmtId="3" fontId="1" fillId="0" borderId="0" xfId="4" applyNumberFormat="1" applyBorder="1" applyAlignment="1">
      <alignment horizontal="center"/>
    </xf>
    <xf numFmtId="0" fontId="1" fillId="0" borderId="45" xfId="4" applyFont="1" applyFill="1" applyBorder="1" applyAlignment="1">
      <alignment horizontal="center"/>
    </xf>
    <xf numFmtId="3" fontId="1" fillId="0" borderId="6" xfId="4" applyNumberFormat="1" applyBorder="1" applyAlignment="1">
      <alignment horizontal="center"/>
    </xf>
    <xf numFmtId="0" fontId="1" fillId="0" borderId="46" xfId="4" applyBorder="1"/>
    <xf numFmtId="0" fontId="5" fillId="0" borderId="0" xfId="4" applyFont="1"/>
    <xf numFmtId="0" fontId="1" fillId="0" borderId="0" xfId="4" applyAlignment="1">
      <alignment horizontal="center"/>
    </xf>
    <xf numFmtId="0" fontId="5" fillId="0" borderId="1" xfId="4" applyFont="1" applyBorder="1"/>
    <xf numFmtId="0" fontId="5" fillId="0" borderId="1" xfId="4" applyFont="1" applyBorder="1" applyAlignment="1">
      <alignment horizontal="center"/>
    </xf>
    <xf numFmtId="0" fontId="1" fillId="0" borderId="1" xfId="4" applyBorder="1" applyAlignment="1">
      <alignment horizontal="center"/>
    </xf>
    <xf numFmtId="9" fontId="1" fillId="0" borderId="0" xfId="4" applyNumberFormat="1" applyAlignment="1">
      <alignment horizontal="center"/>
    </xf>
    <xf numFmtId="3" fontId="1" fillId="0" borderId="0" xfId="4" applyNumberFormat="1" applyAlignment="1">
      <alignment horizontal="center"/>
    </xf>
    <xf numFmtId="0" fontId="1" fillId="0" borderId="6" xfId="4" applyFont="1" applyBorder="1"/>
    <xf numFmtId="0" fontId="1" fillId="0" borderId="0" xfId="4" applyFont="1" applyAlignment="1">
      <alignment horizontal="right"/>
    </xf>
    <xf numFmtId="0" fontId="5" fillId="0" borderId="6" xfId="4" applyFont="1" applyBorder="1" applyAlignment="1">
      <alignment horizontal="right"/>
    </xf>
    <xf numFmtId="3" fontId="5" fillId="0" borderId="6" xfId="4" applyNumberFormat="1" applyFont="1" applyBorder="1" applyAlignment="1">
      <alignment horizontal="center"/>
    </xf>
    <xf numFmtId="0" fontId="5" fillId="13" borderId="55" xfId="4" applyFont="1" applyFill="1" applyBorder="1" applyAlignment="1">
      <alignment horizontal="center"/>
    </xf>
    <xf numFmtId="0" fontId="5" fillId="14" borderId="55" xfId="4" applyFont="1" applyFill="1" applyBorder="1" applyAlignment="1">
      <alignment horizontal="center"/>
    </xf>
    <xf numFmtId="3" fontId="5" fillId="15" borderId="56" xfId="4" applyNumberFormat="1" applyFont="1" applyFill="1" applyBorder="1" applyAlignment="1">
      <alignment horizontal="center"/>
    </xf>
    <xf numFmtId="9" fontId="1" fillId="15" borderId="56" xfId="3" applyFill="1" applyBorder="1" applyAlignment="1">
      <alignment horizontal="center"/>
    </xf>
    <xf numFmtId="3" fontId="5" fillId="16" borderId="56" xfId="6" applyNumberFormat="1" applyFont="1" applyFill="1" applyBorder="1" applyAlignment="1">
      <alignment horizontal="center"/>
    </xf>
    <xf numFmtId="0" fontId="1" fillId="17" borderId="56" xfId="4" applyFill="1" applyBorder="1" applyAlignment="1">
      <alignment horizontal="center"/>
    </xf>
    <xf numFmtId="0" fontId="1" fillId="15" borderId="56" xfId="4" applyFill="1" applyBorder="1" applyAlignment="1">
      <alignment horizontal="center"/>
    </xf>
    <xf numFmtId="3" fontId="5" fillId="16" borderId="56" xfId="4" applyNumberFormat="1" applyFont="1" applyFill="1" applyBorder="1" applyAlignment="1">
      <alignment horizontal="center"/>
    </xf>
    <xf numFmtId="0" fontId="5" fillId="14" borderId="39" xfId="4" applyFont="1" applyFill="1" applyBorder="1" applyAlignment="1">
      <alignment horizontal="center"/>
    </xf>
    <xf numFmtId="0" fontId="5" fillId="2" borderId="23" xfId="4" applyFont="1" applyFill="1" applyBorder="1" applyAlignment="1">
      <alignment vertical="center"/>
    </xf>
    <xf numFmtId="0" fontId="5" fillId="2" borderId="25" xfId="4" applyFont="1" applyFill="1" applyBorder="1" applyAlignment="1">
      <alignment vertical="center"/>
    </xf>
    <xf numFmtId="0" fontId="1" fillId="0" borderId="14" xfId="4" applyFont="1" applyBorder="1" applyAlignment="1">
      <alignment horizontal="left" vertical="center"/>
    </xf>
    <xf numFmtId="3" fontId="14" fillId="12" borderId="48" xfId="5" applyNumberFormat="1" applyFont="1" applyFill="1" applyBorder="1" applyAlignment="1">
      <alignment horizontal="center" vertical="center"/>
    </xf>
    <xf numFmtId="0" fontId="1" fillId="0" borderId="0" xfId="4" applyFont="1" applyBorder="1" applyAlignment="1">
      <alignment horizontal="left" vertical="center"/>
    </xf>
    <xf numFmtId="0" fontId="1" fillId="0" borderId="8" xfId="4" applyFont="1" applyBorder="1" applyAlignment="1">
      <alignment horizontal="left" vertical="center"/>
    </xf>
    <xf numFmtId="176" fontId="14" fillId="12" borderId="49" xfId="5" applyNumberFormat="1" applyFont="1" applyFill="1" applyBorder="1" applyAlignment="1">
      <alignment horizontal="center" vertical="center"/>
    </xf>
    <xf numFmtId="0" fontId="1" fillId="0" borderId="11" xfId="4" applyFont="1" applyBorder="1" applyAlignment="1">
      <alignment horizontal="left" vertical="center"/>
    </xf>
    <xf numFmtId="3" fontId="14" fillId="12" borderId="50" xfId="5" applyNumberFormat="1" applyFont="1" applyFill="1" applyBorder="1" applyAlignment="1">
      <alignment horizontal="center" vertical="center"/>
    </xf>
    <xf numFmtId="0" fontId="5" fillId="18" borderId="14" xfId="4" applyFont="1" applyFill="1" applyBorder="1" applyAlignment="1">
      <alignment horizontal="center" vertical="center"/>
    </xf>
    <xf numFmtId="0" fontId="5" fillId="18" borderId="12" xfId="4" applyFont="1" applyFill="1" applyBorder="1" applyAlignment="1">
      <alignment horizontal="center" vertical="center"/>
    </xf>
    <xf numFmtId="177" fontId="5" fillId="18" borderId="13" xfId="4" applyNumberFormat="1" applyFont="1" applyFill="1" applyBorder="1" applyAlignment="1">
      <alignment horizontal="center" vertical="center"/>
    </xf>
    <xf numFmtId="0" fontId="1" fillId="0" borderId="14" xfId="4" applyFont="1" applyBorder="1" applyAlignment="1">
      <alignment horizontal="right" vertical="center"/>
    </xf>
    <xf numFmtId="3" fontId="1" fillId="0" borderId="12" xfId="7" applyNumberFormat="1" applyFont="1" applyFill="1" applyBorder="1" applyAlignment="1">
      <alignment horizontal="center" vertical="center"/>
    </xf>
    <xf numFmtId="3" fontId="1" fillId="0" borderId="12" xfId="8" applyNumberFormat="1" applyFont="1" applyFill="1" applyBorder="1" applyAlignment="1">
      <alignment horizontal="center" vertical="center"/>
    </xf>
    <xf numFmtId="3" fontId="1" fillId="0" borderId="13" xfId="8" applyNumberFormat="1" applyFont="1" applyFill="1" applyBorder="1" applyAlignment="1">
      <alignment horizontal="center" vertical="center"/>
    </xf>
    <xf numFmtId="0" fontId="1" fillId="0" borderId="8" xfId="4" applyFont="1" applyBorder="1" applyAlignment="1">
      <alignment horizontal="right" vertical="center"/>
    </xf>
    <xf numFmtId="0" fontId="1" fillId="0" borderId="0" xfId="4" applyFont="1" applyFill="1" applyBorder="1" applyAlignment="1">
      <alignment horizontal="center" vertical="center"/>
    </xf>
    <xf numFmtId="3" fontId="1" fillId="0" borderId="0" xfId="8" applyNumberFormat="1" applyFont="1" applyFill="1" applyBorder="1" applyAlignment="1">
      <alignment horizontal="center" vertical="center"/>
    </xf>
    <xf numFmtId="3" fontId="1" fillId="0" borderId="9" xfId="8" applyNumberFormat="1" applyFont="1" applyFill="1" applyBorder="1" applyAlignment="1">
      <alignment horizontal="center" vertical="center"/>
    </xf>
    <xf numFmtId="0" fontId="1" fillId="0" borderId="11" xfId="4" applyFont="1" applyBorder="1" applyAlignment="1">
      <alignment horizontal="right" vertical="center"/>
    </xf>
    <xf numFmtId="176" fontId="1" fillId="0" borderId="1" xfId="7" applyNumberFormat="1" applyFont="1" applyFill="1" applyBorder="1" applyAlignment="1">
      <alignment horizontal="center" vertical="center"/>
    </xf>
    <xf numFmtId="176" fontId="1" fillId="0" borderId="1" xfId="4" applyNumberFormat="1" applyFont="1" applyFill="1" applyBorder="1" applyAlignment="1">
      <alignment horizontal="center" vertical="center"/>
    </xf>
    <xf numFmtId="3" fontId="1" fillId="0" borderId="10" xfId="4" applyNumberFormat="1" applyFont="1" applyFill="1" applyBorder="1" applyAlignment="1">
      <alignment horizontal="center" vertical="center"/>
    </xf>
    <xf numFmtId="0" fontId="1" fillId="0" borderId="0" xfId="4" applyFont="1" applyAlignment="1">
      <alignment vertical="center"/>
    </xf>
    <xf numFmtId="0" fontId="5" fillId="18" borderId="23" xfId="4" applyFont="1" applyFill="1" applyBorder="1" applyAlignment="1">
      <alignment vertical="center"/>
    </xf>
    <xf numFmtId="0" fontId="1" fillId="18" borderId="24" xfId="4" applyFont="1" applyFill="1" applyBorder="1" applyAlignment="1">
      <alignment vertical="center"/>
    </xf>
    <xf numFmtId="0" fontId="1" fillId="18" borderId="25" xfId="4" applyFont="1" applyFill="1" applyBorder="1" applyAlignment="1">
      <alignment vertical="center"/>
    </xf>
    <xf numFmtId="0" fontId="5" fillId="0" borderId="14" xfId="4" applyFont="1" applyBorder="1" applyAlignment="1">
      <alignment horizontal="center" vertical="center" wrapText="1"/>
    </xf>
    <xf numFmtId="0" fontId="5" fillId="0" borderId="12" xfId="4" applyFont="1" applyBorder="1" applyAlignment="1">
      <alignment horizontal="center" vertical="center" wrapText="1"/>
    </xf>
    <xf numFmtId="0" fontId="5" fillId="0" borderId="13" xfId="4" applyFont="1" applyBorder="1" applyAlignment="1">
      <alignment horizontal="center" vertical="center" wrapText="1"/>
    </xf>
    <xf numFmtId="0" fontId="1" fillId="0" borderId="8" xfId="4" applyFont="1" applyBorder="1" applyAlignment="1">
      <alignment horizontal="center" vertical="center"/>
    </xf>
    <xf numFmtId="3" fontId="1" fillId="0" borderId="0" xfId="4" applyNumberFormat="1" applyFont="1" applyBorder="1" applyAlignment="1">
      <alignment horizontal="center" vertical="center"/>
    </xf>
    <xf numFmtId="4" fontId="1" fillId="0" borderId="0" xfId="4" applyNumberFormat="1" applyFont="1" applyBorder="1" applyAlignment="1">
      <alignment horizontal="center" vertical="center"/>
    </xf>
    <xf numFmtId="3" fontId="1" fillId="0" borderId="9" xfId="4" applyNumberFormat="1" applyFont="1" applyBorder="1" applyAlignment="1">
      <alignment horizontal="center" vertical="center"/>
    </xf>
    <xf numFmtId="0" fontId="1" fillId="0" borderId="11" xfId="4" applyFont="1" applyBorder="1" applyAlignment="1">
      <alignment horizontal="center" vertical="center"/>
    </xf>
    <xf numFmtId="3" fontId="1" fillId="0" borderId="1" xfId="4" applyNumberFormat="1" applyFont="1" applyBorder="1" applyAlignment="1">
      <alignment horizontal="center" vertical="center"/>
    </xf>
    <xf numFmtId="4" fontId="1" fillId="0" borderId="1" xfId="4" applyNumberFormat="1" applyFont="1" applyBorder="1" applyAlignment="1">
      <alignment horizontal="center" vertical="center"/>
    </xf>
    <xf numFmtId="3" fontId="1" fillId="0" borderId="10" xfId="4" applyNumberFormat="1" applyFont="1" applyBorder="1" applyAlignment="1">
      <alignment horizontal="center" vertical="center"/>
    </xf>
    <xf numFmtId="179" fontId="1" fillId="0" borderId="0" xfId="4" applyNumberFormat="1" applyFont="1" applyBorder="1" applyAlignment="1">
      <alignment horizontal="center" vertical="center"/>
    </xf>
    <xf numFmtId="179" fontId="1" fillId="0" borderId="9" xfId="4" applyNumberFormat="1" applyFont="1" applyBorder="1" applyAlignment="1">
      <alignment vertical="center"/>
    </xf>
    <xf numFmtId="179" fontId="1" fillId="0" borderId="0" xfId="4" applyNumberFormat="1" applyFont="1"/>
    <xf numFmtId="179" fontId="1" fillId="0" borderId="1" xfId="4" applyNumberFormat="1" applyFont="1" applyBorder="1" applyAlignment="1">
      <alignment horizontal="center" vertical="center"/>
    </xf>
    <xf numFmtId="179" fontId="1" fillId="0" borderId="10" xfId="4" applyNumberFormat="1" applyFont="1" applyBorder="1" applyAlignment="1">
      <alignment horizontal="center" vertical="center"/>
    </xf>
    <xf numFmtId="0" fontId="5" fillId="0" borderId="8" xfId="4" applyFont="1" applyBorder="1" applyAlignment="1">
      <alignment horizontal="center" vertical="center"/>
    </xf>
    <xf numFmtId="165" fontId="1" fillId="0" borderId="0" xfId="4" applyNumberFormat="1" applyFont="1" applyBorder="1" applyAlignment="1">
      <alignment horizontal="center" vertical="center"/>
    </xf>
    <xf numFmtId="165" fontId="1" fillId="0" borderId="9" xfId="4" applyNumberFormat="1" applyFont="1" applyBorder="1" applyAlignment="1">
      <alignment horizontal="center" vertical="center"/>
    </xf>
    <xf numFmtId="176" fontId="1" fillId="0" borderId="0" xfId="4" applyNumberFormat="1" applyFont="1" applyBorder="1" applyAlignment="1">
      <alignment horizontal="center" vertical="center"/>
    </xf>
    <xf numFmtId="176" fontId="1" fillId="0" borderId="9" xfId="4" applyNumberFormat="1" applyFont="1" applyBorder="1" applyAlignment="1">
      <alignment horizontal="center" vertical="center"/>
    </xf>
    <xf numFmtId="0" fontId="5" fillId="0" borderId="11" xfId="4" applyFont="1" applyBorder="1" applyAlignment="1">
      <alignment horizontal="center" vertical="center"/>
    </xf>
    <xf numFmtId="165" fontId="1" fillId="0" borderId="1" xfId="4" applyNumberFormat="1" applyFont="1" applyBorder="1" applyAlignment="1">
      <alignment horizontal="center" vertical="center"/>
    </xf>
    <xf numFmtId="10" fontId="1" fillId="0" borderId="10" xfId="4" applyNumberFormat="1" applyFont="1" applyBorder="1" applyAlignment="1">
      <alignment horizontal="center" vertical="center"/>
    </xf>
    <xf numFmtId="176" fontId="1" fillId="0" borderId="1" xfId="4" applyNumberFormat="1" applyFont="1" applyBorder="1" applyAlignment="1">
      <alignment horizontal="center" vertical="center"/>
    </xf>
    <xf numFmtId="165" fontId="2" fillId="6" borderId="35" xfId="3" applyNumberFormat="1" applyFont="1" applyFill="1" applyBorder="1" applyAlignment="1">
      <alignment horizontal="center" vertical="center"/>
    </xf>
    <xf numFmtId="9" fontId="2" fillId="6" borderId="0" xfId="3" applyFont="1" applyFill="1" applyBorder="1" applyAlignment="1">
      <alignment horizontal="center"/>
    </xf>
    <xf numFmtId="9" fontId="2" fillId="6" borderId="9" xfId="3" applyFont="1" applyFill="1" applyBorder="1" applyAlignment="1">
      <alignment horizontal="center"/>
    </xf>
    <xf numFmtId="3" fontId="2" fillId="6" borderId="0" xfId="4" applyNumberFormat="1" applyFont="1" applyFill="1" applyBorder="1" applyAlignment="1">
      <alignment horizontal="center"/>
    </xf>
    <xf numFmtId="0" fontId="2" fillId="6" borderId="0" xfId="4" applyFont="1" applyFill="1" applyBorder="1" applyAlignment="1">
      <alignment horizontal="center"/>
    </xf>
    <xf numFmtId="165" fontId="2" fillId="6" borderId="0" xfId="3" applyNumberFormat="1" applyFont="1" applyFill="1" applyBorder="1" applyAlignment="1">
      <alignment horizontal="center"/>
    </xf>
    <xf numFmtId="3" fontId="2" fillId="6" borderId="0" xfId="4" applyNumberFormat="1" applyFont="1" applyFill="1" applyBorder="1" applyAlignment="1">
      <alignment horizontal="center"/>
    </xf>
    <xf numFmtId="165" fontId="2" fillId="6" borderId="3" xfId="3" applyNumberFormat="1" applyFont="1" applyFill="1" applyBorder="1" applyAlignment="1">
      <alignment horizontal="center"/>
    </xf>
    <xf numFmtId="167" fontId="2" fillId="6" borderId="0" xfId="4" applyNumberFormat="1" applyFont="1" applyFill="1" applyBorder="1" applyAlignment="1">
      <alignment horizontal="center"/>
    </xf>
    <xf numFmtId="0" fontId="2" fillId="6" borderId="30" xfId="4" applyFont="1" applyFill="1" applyBorder="1" applyAlignment="1">
      <alignment horizontal="center"/>
    </xf>
    <xf numFmtId="167" fontId="2" fillId="6" borderId="3" xfId="4" applyNumberFormat="1" applyFont="1" applyFill="1" applyBorder="1" applyAlignment="1">
      <alignment horizontal="center"/>
    </xf>
    <xf numFmtId="3" fontId="2" fillId="6" borderId="3" xfId="4" applyNumberFormat="1" applyFont="1" applyFill="1" applyBorder="1" applyAlignment="1">
      <alignment horizontal="center"/>
    </xf>
    <xf numFmtId="167" fontId="2" fillId="6" borderId="31" xfId="4" applyNumberFormat="1" applyFont="1" applyFill="1" applyBorder="1" applyAlignment="1">
      <alignment horizontal="center"/>
    </xf>
    <xf numFmtId="3" fontId="2" fillId="6" borderId="31" xfId="4" applyNumberFormat="1" applyFont="1" applyFill="1" applyBorder="1" applyAlignment="1">
      <alignment horizontal="center"/>
    </xf>
    <xf numFmtId="165" fontId="2" fillId="6" borderId="31" xfId="3" applyNumberFormat="1" applyFont="1" applyFill="1" applyBorder="1" applyAlignment="1">
      <alignment horizontal="center"/>
    </xf>
    <xf numFmtId="0" fontId="2" fillId="6" borderId="32" xfId="4" applyFont="1" applyFill="1" applyBorder="1" applyAlignment="1">
      <alignment horizontal="center"/>
    </xf>
    <xf numFmtId="0" fontId="2" fillId="6" borderId="12" xfId="4" applyFont="1" applyFill="1" applyBorder="1" applyAlignment="1">
      <alignment horizontal="center"/>
    </xf>
    <xf numFmtId="165" fontId="2" fillId="6" borderId="21" xfId="3" applyNumberFormat="1" applyFont="1" applyFill="1" applyBorder="1" applyAlignment="1">
      <alignment horizontal="center"/>
    </xf>
    <xf numFmtId="165" fontId="2" fillId="6" borderId="34" xfId="3" applyNumberFormat="1" applyFont="1" applyFill="1" applyBorder="1" applyAlignment="1">
      <alignment horizontal="center"/>
    </xf>
    <xf numFmtId="165" fontId="2" fillId="6" borderId="35" xfId="3" applyNumberFormat="1" applyFont="1" applyFill="1" applyBorder="1" applyAlignment="1">
      <alignment horizontal="center"/>
    </xf>
    <xf numFmtId="165" fontId="2" fillId="6" borderId="7" xfId="3" applyNumberFormat="1" applyFont="1" applyFill="1" applyBorder="1" applyAlignment="1">
      <alignment horizontal="center"/>
    </xf>
    <xf numFmtId="165" fontId="2" fillId="6" borderId="37" xfId="3" applyNumberFormat="1" applyFont="1" applyFill="1" applyBorder="1" applyAlignment="1">
      <alignment horizontal="center"/>
    </xf>
    <xf numFmtId="165" fontId="2" fillId="6" borderId="38" xfId="3" applyNumberFormat="1" applyFont="1" applyFill="1" applyBorder="1" applyAlignment="1">
      <alignment horizontal="center"/>
    </xf>
    <xf numFmtId="165" fontId="2" fillId="6" borderId="39" xfId="3" applyNumberFormat="1" applyFont="1" applyFill="1" applyBorder="1" applyAlignment="1">
      <alignment horizontal="center"/>
    </xf>
    <xf numFmtId="0" fontId="2" fillId="6" borderId="38" xfId="4" applyFont="1" applyFill="1" applyBorder="1" applyAlignment="1">
      <alignment horizontal="center"/>
    </xf>
    <xf numFmtId="0" fontId="2" fillId="6" borderId="40" xfId="4" applyFont="1" applyFill="1" applyBorder="1" applyAlignment="1">
      <alignment horizontal="center"/>
    </xf>
    <xf numFmtId="3" fontId="2" fillId="6" borderId="0" xfId="4" applyNumberFormat="1" applyFont="1" applyFill="1" applyBorder="1" applyAlignment="1">
      <alignment horizontal="center"/>
    </xf>
    <xf numFmtId="3" fontId="2" fillId="6" borderId="35" xfId="4" applyNumberFormat="1" applyFont="1" applyFill="1" applyBorder="1" applyAlignment="1">
      <alignment horizontal="center"/>
    </xf>
    <xf numFmtId="3" fontId="2" fillId="6" borderId="7" xfId="4" applyNumberFormat="1" applyFont="1" applyFill="1" applyBorder="1" applyAlignment="1">
      <alignment horizontal="center"/>
    </xf>
    <xf numFmtId="0" fontId="1" fillId="0" borderId="7" xfId="4" applyBorder="1"/>
    <xf numFmtId="0" fontId="1" fillId="0" borderId="37" xfId="4" applyBorder="1"/>
  </cellXfs>
  <cellStyles count="12">
    <cellStyle name="Hipervínculo" xfId="1" builtinId="8"/>
    <cellStyle name="Millares [0]" xfId="2" builtinId="6"/>
    <cellStyle name="Millares 2" xfId="8"/>
    <cellStyle name="Moneda 2" xfId="5"/>
    <cellStyle name="Normal" xfId="0" builtinId="0"/>
    <cellStyle name="Normal 2" xfId="4"/>
    <cellStyle name="Normal 2 2" xfId="9"/>
    <cellStyle name="Normal 2 3" xfId="10"/>
    <cellStyle name="Normal 3" xfId="6"/>
    <cellStyle name="Normal_ExhibitsNew2" xfId="7"/>
    <cellStyle name="Porcentaje" xfId="3" builtinId="5"/>
    <cellStyle name="Porcentual 2" xfId="1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_tradnl"/>
              <a:t>Evolución de las inversiones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INV!$B$53</c:f>
              <c:strCache>
                <c:ptCount val="1"/>
                <c:pt idx="0">
                  <c:v>INMOVILIZADO TANGIBLE</c:v>
                </c:pt>
              </c:strCache>
            </c:strRef>
          </c:tx>
          <c:invertIfNegative val="0"/>
          <c:val>
            <c:numRef>
              <c:f>INV!$C$53:$J$53</c:f>
              <c:numCache>
                <c:formatCode>#,##0</c:formatCode>
                <c:ptCount val="8"/>
                <c:pt idx="0">
                  <c:v>125920</c:v>
                </c:pt>
                <c:pt idx="1">
                  <c:v>389499.99999999994</c:v>
                </c:pt>
                <c:pt idx="2">
                  <c:v>609362.49999999988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INV!$B$54</c:f>
              <c:strCache>
                <c:ptCount val="1"/>
                <c:pt idx="0">
                  <c:v>INMOVILIZADO INTANGIBLE</c:v>
                </c:pt>
              </c:strCache>
            </c:strRef>
          </c:tx>
          <c:invertIfNegative val="0"/>
          <c:val>
            <c:numRef>
              <c:f>INV!$C$54:$J$54</c:f>
              <c:numCache>
                <c:formatCode>#,##0</c:formatCode>
                <c:ptCount val="8"/>
                <c:pt idx="0">
                  <c:v>280000</c:v>
                </c:pt>
                <c:pt idx="1">
                  <c:v>5220</c:v>
                </c:pt>
                <c:pt idx="2">
                  <c:v>5763.0625</c:v>
                </c:pt>
                <c:pt idx="3">
                  <c:v>5907.1390624999995</c:v>
                </c:pt>
                <c:pt idx="4">
                  <c:v>5944.4362499999988</c:v>
                </c:pt>
                <c:pt idx="5">
                  <c:v>6093.0471562499979</c:v>
                </c:pt>
                <c:pt idx="6">
                  <c:v>6245.3733351562469</c:v>
                </c:pt>
                <c:pt idx="7">
                  <c:v>6401.5076685351532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6203136"/>
        <c:axId val="206209024"/>
      </c:barChart>
      <c:catAx>
        <c:axId val="20620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06209024"/>
        <c:crosses val="autoZero"/>
        <c:auto val="1"/>
        <c:lblAlgn val="ctr"/>
        <c:lblOffset val="100"/>
        <c:noMultiLvlLbl val="0"/>
      </c:catAx>
      <c:valAx>
        <c:axId val="206209024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20620313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ES" sz="1400"/>
              <a:t>Variación respecto a VAN base</a:t>
            </a:r>
          </a:p>
        </c:rich>
      </c:tx>
      <c:layout>
        <c:manualLayout>
          <c:xMode val="edge"/>
          <c:yMode val="edge"/>
          <c:x val="0.28700481602990463"/>
          <c:y val="1.157742226414268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8524210335777"/>
          <c:y val="0.15763313731734416"/>
          <c:w val="0.63353330553054099"/>
          <c:h val="0.7451312335958005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ESCENARIOS!$H$50</c:f>
              <c:strCache>
                <c:ptCount val="1"/>
                <c:pt idx="0">
                  <c:v>Pesimista</c:v>
                </c:pt>
              </c:strCache>
            </c:strRef>
          </c:tx>
          <c:invertIfNegative val="0"/>
          <c:cat>
            <c:strRef>
              <c:f>ESCENARIOS!$G$51:$G$56</c:f>
              <c:strCache>
                <c:ptCount val="6"/>
                <c:pt idx="0">
                  <c:v>Nivel de Actividad</c:v>
                </c:pt>
                <c:pt idx="1">
                  <c:v>Precio</c:v>
                </c:pt>
                <c:pt idx="2">
                  <c:v>Costes</c:v>
                </c:pt>
                <c:pt idx="3">
                  <c:v>Crecimiento</c:v>
                </c:pt>
                <c:pt idx="4">
                  <c:v>Inversión</c:v>
                </c:pt>
                <c:pt idx="5">
                  <c:v>Subvenciones</c:v>
                </c:pt>
              </c:strCache>
            </c:strRef>
          </c:cat>
          <c:val>
            <c:numRef>
              <c:f>ESCENARIOS!$H$51:$H$56</c:f>
              <c:numCache>
                <c:formatCode>#,##0_ ;\-#,##0\ </c:formatCode>
                <c:ptCount val="6"/>
                <c:pt idx="0">
                  <c:v>-597709.47734467871</c:v>
                </c:pt>
                <c:pt idx="1">
                  <c:v>-300646.18323208741</c:v>
                </c:pt>
                <c:pt idx="2">
                  <c:v>-273594.96232849325</c:v>
                </c:pt>
                <c:pt idx="3">
                  <c:v>-215858.78468528215</c:v>
                </c:pt>
                <c:pt idx="4">
                  <c:v>-84060.990641844459</c:v>
                </c:pt>
                <c:pt idx="5">
                  <c:v>-7107.1499012296554</c:v>
                </c:pt>
              </c:numCache>
            </c:numRef>
          </c:val>
        </c:ser>
        <c:ser>
          <c:idx val="1"/>
          <c:order val="1"/>
          <c:tx>
            <c:strRef>
              <c:f>ESCENARIOS!$I$50</c:f>
              <c:strCache>
                <c:ptCount val="1"/>
                <c:pt idx="0">
                  <c:v>Optimista</c:v>
                </c:pt>
              </c:strCache>
            </c:strRef>
          </c:tx>
          <c:invertIfNegative val="0"/>
          <c:cat>
            <c:strRef>
              <c:f>ESCENARIOS!$G$51:$G$56</c:f>
              <c:strCache>
                <c:ptCount val="6"/>
                <c:pt idx="0">
                  <c:v>Nivel de Actividad</c:v>
                </c:pt>
                <c:pt idx="1">
                  <c:v>Precio</c:v>
                </c:pt>
                <c:pt idx="2">
                  <c:v>Costes</c:v>
                </c:pt>
                <c:pt idx="3">
                  <c:v>Crecimiento</c:v>
                </c:pt>
                <c:pt idx="4">
                  <c:v>Inversión</c:v>
                </c:pt>
                <c:pt idx="5">
                  <c:v>Subvenciones</c:v>
                </c:pt>
              </c:strCache>
            </c:strRef>
          </c:cat>
          <c:val>
            <c:numRef>
              <c:f>ESCENARIOS!$I$51:$I$56</c:f>
              <c:numCache>
                <c:formatCode>#,##0_ ;\-#,##0\ </c:formatCode>
                <c:ptCount val="6"/>
                <c:pt idx="0">
                  <c:v>304146.06643359037</c:v>
                </c:pt>
                <c:pt idx="1">
                  <c:v>304146.0664335913</c:v>
                </c:pt>
                <c:pt idx="2">
                  <c:v>273594.9623284922</c:v>
                </c:pt>
                <c:pt idx="3">
                  <c:v>114961.30562402494</c:v>
                </c:pt>
                <c:pt idx="4">
                  <c:v>84060.990641843993</c:v>
                </c:pt>
                <c:pt idx="5">
                  <c:v>3553.5749506144784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7882112"/>
        <c:axId val="207883648"/>
      </c:barChart>
      <c:catAx>
        <c:axId val="20788211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crossAx val="207883648"/>
        <c:crosses val="autoZero"/>
        <c:auto val="1"/>
        <c:lblAlgn val="ctr"/>
        <c:lblOffset val="100"/>
        <c:noMultiLvlLbl val="0"/>
      </c:catAx>
      <c:valAx>
        <c:axId val="207883648"/>
        <c:scaling>
          <c:orientation val="minMax"/>
        </c:scaling>
        <c:delete val="0"/>
        <c:axPos val="t"/>
        <c:numFmt formatCode="#,##0_ ;\-#,##0\ 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20788211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813922513417171"/>
          <c:y val="6.213970167309333E-2"/>
          <c:w val="0.8006567164179107"/>
          <c:h val="0.75615955412980906"/>
        </c:manualLayout>
      </c:layout>
      <c:lineChart>
        <c:grouping val="standard"/>
        <c:varyColors val="0"/>
        <c:ser>
          <c:idx val="0"/>
          <c:order val="0"/>
          <c:tx>
            <c:strRef>
              <c:f>EQ!$B$16</c:f>
              <c:strCache>
                <c:ptCount val="1"/>
                <c:pt idx="0">
                  <c:v>INGRESOS</c:v>
                </c:pt>
              </c:strCache>
            </c:strRef>
          </c:tx>
          <c:spPr>
            <a:ln w="38100">
              <a:solidFill>
                <a:srgbClr val="339933"/>
              </a:solidFill>
              <a:prstDash val="solid"/>
            </a:ln>
          </c:spPr>
          <c:marker>
            <c:symbol val="star"/>
            <c:size val="9"/>
            <c:spPr>
              <a:noFill/>
              <a:ln>
                <a:solidFill>
                  <a:srgbClr val="339933"/>
                </a:solidFill>
                <a:prstDash val="solid"/>
              </a:ln>
            </c:spPr>
          </c:marker>
          <c:cat>
            <c:numRef>
              <c:f>EQ!$D$15:$J$15</c:f>
              <c:numCache>
                <c:formatCode>0%</c:formatCode>
                <c:ptCount val="7"/>
                <c:pt idx="0">
                  <c:v>0.2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</c:v>
                </c:pt>
                <c:pt idx="5">
                  <c:v>1.2</c:v>
                </c:pt>
                <c:pt idx="6">
                  <c:v>1.4</c:v>
                </c:pt>
              </c:numCache>
            </c:numRef>
          </c:cat>
          <c:val>
            <c:numRef>
              <c:f>EQ!$D$16:$J$16</c:f>
              <c:numCache>
                <c:formatCode>#,##0</c:formatCode>
                <c:ptCount val="7"/>
                <c:pt idx="0">
                  <c:v>118268.395</c:v>
                </c:pt>
                <c:pt idx="1">
                  <c:v>241628.58000000002</c:v>
                </c:pt>
                <c:pt idx="2">
                  <c:v>370080.55499999993</c:v>
                </c:pt>
                <c:pt idx="3">
                  <c:v>503624.32</c:v>
                </c:pt>
                <c:pt idx="4">
                  <c:v>642259.875</c:v>
                </c:pt>
                <c:pt idx="5">
                  <c:v>785987.21999999986</c:v>
                </c:pt>
                <c:pt idx="6">
                  <c:v>934806.35499999986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EQ!$B$17</c:f>
              <c:strCache>
                <c:ptCount val="1"/>
                <c:pt idx="0">
                  <c:v>COSTES FIJOS</c:v>
                </c:pt>
              </c:strCache>
            </c:strRef>
          </c:tx>
          <c:spPr>
            <a:ln w="38100">
              <a:solidFill>
                <a:srgbClr val="FF00FF"/>
              </a:solidFill>
              <a:prstDash val="solid"/>
            </a:ln>
          </c:spPr>
          <c:marker>
            <c:symbol val="circle"/>
            <c:size val="9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EQ!$D$15:$J$15</c:f>
              <c:numCache>
                <c:formatCode>0%</c:formatCode>
                <c:ptCount val="7"/>
                <c:pt idx="0">
                  <c:v>0.2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</c:v>
                </c:pt>
                <c:pt idx="5">
                  <c:v>1.2</c:v>
                </c:pt>
                <c:pt idx="6">
                  <c:v>1.4</c:v>
                </c:pt>
              </c:numCache>
            </c:numRef>
          </c:cat>
          <c:val>
            <c:numRef>
              <c:f>EQ!$D$17:$J$17</c:f>
              <c:numCache>
                <c:formatCode>#,##0</c:formatCode>
                <c:ptCount val="7"/>
                <c:pt idx="0">
                  <c:v>365280.39999999997</c:v>
                </c:pt>
                <c:pt idx="1">
                  <c:v>365280.39999999997</c:v>
                </c:pt>
                <c:pt idx="2">
                  <c:v>365280.39999999997</c:v>
                </c:pt>
                <c:pt idx="3">
                  <c:v>365280.39999999997</c:v>
                </c:pt>
                <c:pt idx="4">
                  <c:v>365280.39999999997</c:v>
                </c:pt>
                <c:pt idx="5">
                  <c:v>365280.39999999997</c:v>
                </c:pt>
                <c:pt idx="6">
                  <c:v>365280.39999999997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EQ!$B$18</c:f>
              <c:strCache>
                <c:ptCount val="1"/>
                <c:pt idx="0">
                  <c:v>COSTES TOTALES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EQ!$D$15:$J$15</c:f>
              <c:numCache>
                <c:formatCode>0%</c:formatCode>
                <c:ptCount val="7"/>
                <c:pt idx="0">
                  <c:v>0.2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</c:v>
                </c:pt>
                <c:pt idx="5">
                  <c:v>1.2</c:v>
                </c:pt>
                <c:pt idx="6">
                  <c:v>1.4</c:v>
                </c:pt>
              </c:numCache>
            </c:numRef>
          </c:cat>
          <c:val>
            <c:numRef>
              <c:f>EQ!$D$18:$J$18</c:f>
              <c:numCache>
                <c:formatCode>#,##0</c:formatCode>
                <c:ptCount val="7"/>
                <c:pt idx="0">
                  <c:v>402986.88639999996</c:v>
                </c:pt>
                <c:pt idx="1">
                  <c:v>442322.74559999997</c:v>
                </c:pt>
                <c:pt idx="2">
                  <c:v>483287.97759999998</c:v>
                </c:pt>
                <c:pt idx="3">
                  <c:v>525882.58239999996</c:v>
                </c:pt>
                <c:pt idx="4">
                  <c:v>570106.55999999994</c:v>
                </c:pt>
                <c:pt idx="5">
                  <c:v>615959.91039999994</c:v>
                </c:pt>
                <c:pt idx="6">
                  <c:v>663442.63359999994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004608"/>
        <c:axId val="208006528"/>
      </c:lineChart>
      <c:catAx>
        <c:axId val="20800460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080065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800652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0800460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4308943471618285"/>
          <c:y val="0.87242798353909468"/>
          <c:w val="0.74959345007247236"/>
          <c:h val="9.053497942386834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INGRESOS</c:v>
          </c:tx>
          <c:cat>
            <c:numRef>
              <c:f>EQ!$D$3:$J$3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EQ!$D$5:$J$5</c:f>
              <c:numCache>
                <c:formatCode>#,##0</c:formatCode>
                <c:ptCount val="7"/>
                <c:pt idx="0">
                  <c:v>506000</c:v>
                </c:pt>
                <c:pt idx="1">
                  <c:v>642259.875</c:v>
                </c:pt>
                <c:pt idx="2">
                  <c:v>805522.53996874997</c:v>
                </c:pt>
                <c:pt idx="3">
                  <c:v>1056336.378706547</c:v>
                </c:pt>
                <c:pt idx="4">
                  <c:v>1134633.566794585</c:v>
                </c:pt>
                <c:pt idx="5">
                  <c:v>1219228.7768335242</c:v>
                </c:pt>
                <c:pt idx="6">
                  <c:v>1300081.6027045192</c:v>
                </c:pt>
              </c:numCache>
            </c:numRef>
          </c:val>
          <c:smooth val="0"/>
        </c:ser>
        <c:ser>
          <c:idx val="1"/>
          <c:order val="1"/>
          <c:tx>
            <c:v>COSTES FIJOS</c:v>
          </c:tx>
          <c:cat>
            <c:numRef>
              <c:f>EQ!$D$3:$J$3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EQ!$D$8:$J$8</c:f>
              <c:numCache>
                <c:formatCode>#,##0</c:formatCode>
                <c:ptCount val="7"/>
                <c:pt idx="0">
                  <c:v>293164.40000000002</c:v>
                </c:pt>
                <c:pt idx="1">
                  <c:v>365280.39999999997</c:v>
                </c:pt>
                <c:pt idx="2">
                  <c:v>463619.25874999992</c:v>
                </c:pt>
                <c:pt idx="3">
                  <c:v>492911.05146874994</c:v>
                </c:pt>
                <c:pt idx="4">
                  <c:v>540534.38874999981</c:v>
                </c:pt>
                <c:pt idx="5">
                  <c:v>544280.79383828118</c:v>
                </c:pt>
                <c:pt idx="6">
                  <c:v>507652.85905376938</c:v>
                </c:pt>
              </c:numCache>
            </c:numRef>
          </c:val>
          <c:smooth val="0"/>
        </c:ser>
        <c:ser>
          <c:idx val="2"/>
          <c:order val="2"/>
          <c:tx>
            <c:v>COSTES TOTALES</c:v>
          </c:tx>
          <c:cat>
            <c:numRef>
              <c:f>EQ!$D$3:$J$3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EQ!$D$9:$J$9</c:f>
              <c:numCache>
                <c:formatCode>#,##0</c:formatCode>
                <c:ptCount val="7"/>
                <c:pt idx="0">
                  <c:v>448084.4</c:v>
                </c:pt>
                <c:pt idx="1">
                  <c:v>570106.55999999994</c:v>
                </c:pt>
                <c:pt idx="2">
                  <c:v>733176.58528999996</c:v>
                </c:pt>
                <c:pt idx="3">
                  <c:v>863616.07715797005</c:v>
                </c:pt>
                <c:pt idx="4">
                  <c:v>937566.56895578105</c:v>
                </c:pt>
                <c:pt idx="5">
                  <c:v>969695.07601700444</c:v>
                </c:pt>
                <c:pt idx="6">
                  <c:v>960410.68285280338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434624"/>
        <c:axId val="221436160"/>
      </c:lineChart>
      <c:catAx>
        <c:axId val="221434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21436160"/>
        <c:crosses val="autoZero"/>
        <c:auto val="1"/>
        <c:lblAlgn val="ctr"/>
        <c:lblOffset val="100"/>
        <c:noMultiLvlLbl val="0"/>
      </c:catAx>
      <c:valAx>
        <c:axId val="22143616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2143462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Propiedad de los Fundadores en cada Ronda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'Rondas de financiación'!$B$27:$B$31</c:f>
              <c:strCache>
                <c:ptCount val="5"/>
                <c:pt idx="0">
                  <c:v>Ronda 1</c:v>
                </c:pt>
                <c:pt idx="1">
                  <c:v>Ronda 2</c:v>
                </c:pt>
                <c:pt idx="2">
                  <c:v>Ronda 3</c:v>
                </c:pt>
                <c:pt idx="3">
                  <c:v>Ronda 4</c:v>
                </c:pt>
                <c:pt idx="4">
                  <c:v>Ronda 5</c:v>
                </c:pt>
              </c:strCache>
            </c:strRef>
          </c:cat>
          <c:val>
            <c:numRef>
              <c:f>'Rondas de financiación'!$C$27:$C$31</c:f>
              <c:numCache>
                <c:formatCode>0.000%</c:formatCode>
                <c:ptCount val="5"/>
                <c:pt idx="0">
                  <c:v>0.68568496376408428</c:v>
                </c:pt>
                <c:pt idx="1">
                  <c:v>0.61983287218791305</c:v>
                </c:pt>
                <c:pt idx="2">
                  <c:v>0.57987642506433745</c:v>
                </c:pt>
                <c:pt idx="3">
                  <c:v>0.55864296613339159</c:v>
                </c:pt>
                <c:pt idx="4">
                  <c:v>0.39064356864210981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997312"/>
        <c:axId val="221999104"/>
      </c:lineChart>
      <c:catAx>
        <c:axId val="22199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21999104"/>
        <c:crosses val="autoZero"/>
        <c:auto val="1"/>
        <c:lblAlgn val="ctr"/>
        <c:lblOffset val="100"/>
        <c:noMultiLvlLbl val="0"/>
      </c:catAx>
      <c:valAx>
        <c:axId val="221999104"/>
        <c:scaling>
          <c:orientation val="minMax"/>
          <c:max val="1"/>
          <c:min val="0"/>
        </c:scaling>
        <c:delete val="0"/>
        <c:axPos val="l"/>
        <c:numFmt formatCode="0%" sourceLinked="0"/>
        <c:majorTickMark val="none"/>
        <c:minorTickMark val="none"/>
        <c:tickLblPos val="nextTo"/>
        <c:crossAx val="221997312"/>
        <c:crosses val="autoZero"/>
        <c:crossBetween val="between"/>
        <c:majorUnit val="0.05"/>
        <c:minorUnit val="0.05"/>
      </c:valAx>
    </c:plotArea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Propiedad</a:t>
            </a:r>
            <a:r>
              <a:rPr lang="en-US" baseline="0"/>
              <a:t> tras la Ronda 5</a:t>
            </a:r>
            <a:endParaRPr lang="en-US"/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'Rondas de financiación'!$C$26:$H$26</c:f>
              <c:strCache>
                <c:ptCount val="6"/>
                <c:pt idx="0">
                  <c:v>Fundadores</c:v>
                </c:pt>
                <c:pt idx="1">
                  <c:v>Inversores de Ronda 1</c:v>
                </c:pt>
                <c:pt idx="2">
                  <c:v>Inversores de Ronda 2</c:v>
                </c:pt>
                <c:pt idx="3">
                  <c:v>Inversores de Ronda 3</c:v>
                </c:pt>
                <c:pt idx="4">
                  <c:v>Inversores de Ronda 4</c:v>
                </c:pt>
                <c:pt idx="5">
                  <c:v>Inversores de Ronda 5</c:v>
                </c:pt>
              </c:strCache>
            </c:strRef>
          </c:cat>
          <c:val>
            <c:numRef>
              <c:f>'Rondas de financiación'!$C$31:$H$31</c:f>
              <c:numCache>
                <c:formatCode>0.000%</c:formatCode>
                <c:ptCount val="6"/>
                <c:pt idx="0">
                  <c:v>0.39064356864210981</c:v>
                </c:pt>
                <c:pt idx="1">
                  <c:v>0.17906933055530358</c:v>
                </c:pt>
                <c:pt idx="2">
                  <c:v>6.052726096575952E-2</c:v>
                </c:pt>
                <c:pt idx="3">
                  <c:v>4.3426765680152725E-2</c:v>
                </c:pt>
                <c:pt idx="4">
                  <c:v>2.560540429254287E-2</c:v>
                </c:pt>
                <c:pt idx="5">
                  <c:v>0.30072766986413141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_tradnl"/>
              <a:t>Evolución de ventas y crecimiento en ventas</a:t>
            </a:r>
          </a:p>
        </c:rich>
      </c:tx>
      <c:layout>
        <c:manualLayout>
          <c:xMode val="edge"/>
          <c:yMode val="edge"/>
          <c:x val="0.20438779406717808"/>
          <c:y val="1.51658646835812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268920513376196"/>
          <c:y val="0.11270851560221638"/>
          <c:w val="0.80000065651314634"/>
          <c:h val="0.6934891848104660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INCO!$C$46</c:f>
              <c:strCache>
                <c:ptCount val="1"/>
                <c:pt idx="0">
                  <c:v>INGRESOS TOTALES</c:v>
                </c:pt>
              </c:strCache>
            </c:strRef>
          </c:tx>
          <c:spPr>
            <a:solidFill>
              <a:srgbClr val="A6CA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INCO!$D$50:$J$50</c:f>
              <c:numCache>
                <c:formatCode>#,##0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INCO!$D$46:$J$46</c:f>
              <c:numCache>
                <c:formatCode>#,##0</c:formatCode>
                <c:ptCount val="7"/>
                <c:pt idx="0">
                  <c:v>506000</c:v>
                </c:pt>
                <c:pt idx="1">
                  <c:v>642259.875</c:v>
                </c:pt>
                <c:pt idx="2">
                  <c:v>805522.53996874997</c:v>
                </c:pt>
                <c:pt idx="3">
                  <c:v>1056336.378706547</c:v>
                </c:pt>
                <c:pt idx="4">
                  <c:v>1134633.566794585</c:v>
                </c:pt>
                <c:pt idx="5">
                  <c:v>1219228.7768335242</c:v>
                </c:pt>
                <c:pt idx="6">
                  <c:v>1300081.6027045192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73184"/>
        <c:axId val="206979456"/>
      </c:barChart>
      <c:lineChart>
        <c:grouping val="standard"/>
        <c:varyColors val="0"/>
        <c:ser>
          <c:idx val="0"/>
          <c:order val="1"/>
          <c:tx>
            <c:strRef>
              <c:f>INCO!$C$47</c:f>
              <c:strCache>
                <c:ptCount val="1"/>
                <c:pt idx="0">
                  <c:v>Crecimiento 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INCO!$D$47:$J$47</c:f>
              <c:numCache>
                <c:formatCode>0.0%</c:formatCode>
                <c:ptCount val="7"/>
                <c:pt idx="1">
                  <c:v>0.26928829051383407</c:v>
                </c:pt>
                <c:pt idx="2">
                  <c:v>0.25420031878645699</c:v>
                </c:pt>
                <c:pt idx="3">
                  <c:v>0.31136787152787471</c:v>
                </c:pt>
                <c:pt idx="4">
                  <c:v>7.4121453796669012E-2</c:v>
                </c:pt>
                <c:pt idx="5">
                  <c:v>7.4557295425276671E-2</c:v>
                </c:pt>
                <c:pt idx="6">
                  <c:v>6.631472895593804E-2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980992"/>
        <c:axId val="206982528"/>
      </c:lineChart>
      <c:catAx>
        <c:axId val="206973184"/>
        <c:scaling>
          <c:orientation val="minMax"/>
        </c:scaling>
        <c:delete val="0"/>
        <c:axPos val="b"/>
        <c:numFmt formatCode="#,##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0697945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0697945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06973184"/>
        <c:crosses val="autoZero"/>
        <c:crossBetween val="between"/>
      </c:valAx>
      <c:catAx>
        <c:axId val="206980992"/>
        <c:scaling>
          <c:orientation val="minMax"/>
        </c:scaling>
        <c:delete val="1"/>
        <c:axPos val="b"/>
        <c:majorTickMark val="out"/>
        <c:minorTickMark val="none"/>
        <c:tickLblPos val="nextTo"/>
        <c:crossAx val="206982528"/>
        <c:crosses val="autoZero"/>
        <c:auto val="0"/>
        <c:lblAlgn val="ctr"/>
        <c:lblOffset val="100"/>
        <c:noMultiLvlLbl val="0"/>
      </c:catAx>
      <c:valAx>
        <c:axId val="206982528"/>
        <c:scaling>
          <c:orientation val="minMax"/>
        </c:scaling>
        <c:delete val="0"/>
        <c:axPos val="r"/>
        <c:numFmt formatCode="0%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06980992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23584905477975474"/>
          <c:y val="0.90278069407990669"/>
          <c:w val="0.76226408163068016"/>
          <c:h val="0.97222550306211719"/>
        </c:manualLayout>
      </c:layout>
      <c:overlay val="0"/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Page &amp;P</c:oddFooter>
    </c:headerFooter>
    <c:pageMargins b="1" l="0.75000000000000133" r="0.75000000000000133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_tradnl"/>
              <a:t>Reparto de costes fijos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</c:dPt>
          <c:dLbls>
            <c:showLegendKey val="0"/>
            <c:showVal val="0"/>
            <c:showCatName val="1"/>
            <c:showSerName val="0"/>
            <c:showPercent val="0"/>
            <c:showBubbleSize val="0"/>
            <c:showLeaderLines val="1"/>
          </c:dLbls>
          <c:cat>
            <c:strRef>
              <c:f>INCO!$C$51:$C$56</c:f>
              <c:strCache>
                <c:ptCount val="6"/>
                <c:pt idx="0">
                  <c:v>PERSONAL</c:v>
                </c:pt>
                <c:pt idx="1">
                  <c:v>SUMINISTROS</c:v>
                </c:pt>
                <c:pt idx="2">
                  <c:v>GASTOS GENERALES</c:v>
                </c:pt>
                <c:pt idx="3">
                  <c:v>ALQUILERES</c:v>
                </c:pt>
                <c:pt idx="4">
                  <c:v>SEGUROS Y TRIBUTOS</c:v>
                </c:pt>
                <c:pt idx="5">
                  <c:v>OTROS</c:v>
                </c:pt>
              </c:strCache>
            </c:strRef>
          </c:cat>
          <c:val>
            <c:numRef>
              <c:f>INCO!$D$51:$D$56</c:f>
              <c:numCache>
                <c:formatCode>#,##0</c:formatCode>
                <c:ptCount val="6"/>
                <c:pt idx="0">
                  <c:v>140000</c:v>
                </c:pt>
                <c:pt idx="1">
                  <c:v>9000</c:v>
                </c:pt>
                <c:pt idx="2">
                  <c:v>30000</c:v>
                </c:pt>
                <c:pt idx="3">
                  <c:v>18000</c:v>
                </c:pt>
                <c:pt idx="4">
                  <c:v>24000</c:v>
                </c:pt>
                <c:pt idx="5">
                  <c:v>25000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_tradnl"/>
              <a:t>Evolución</a:t>
            </a:r>
            <a:r>
              <a:rPr lang="es-ES_tradnl" baseline="0"/>
              <a:t> de ingresos</a:t>
            </a:r>
            <a:endParaRPr lang="es-ES_tradnl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INCO!$B$11</c:f>
              <c:strCache>
                <c:ptCount val="1"/>
                <c:pt idx="0">
                  <c:v>Linea A</c:v>
                </c:pt>
              </c:strCache>
            </c:strRef>
          </c:tx>
          <c:invertIfNegative val="0"/>
          <c:val>
            <c:numRef>
              <c:f>INCO!$D$12:$J$12</c:f>
              <c:numCache>
                <c:formatCode>#,##0</c:formatCode>
                <c:ptCount val="7"/>
                <c:pt idx="0">
                  <c:v>350000</c:v>
                </c:pt>
                <c:pt idx="1">
                  <c:v>394625</c:v>
                </c:pt>
                <c:pt idx="2">
                  <c:v>444939.68750000006</c:v>
                </c:pt>
                <c:pt idx="3">
                  <c:v>501669.49765625014</c:v>
                </c:pt>
                <c:pt idx="4">
                  <c:v>539921.79685253918</c:v>
                </c:pt>
                <c:pt idx="5">
                  <c:v>581090.8338625452</c:v>
                </c:pt>
                <c:pt idx="6">
                  <c:v>619442.82889747329</c:v>
                </c:pt>
              </c:numCache>
            </c:numRef>
          </c:val>
        </c:ser>
        <c:ser>
          <c:idx val="1"/>
          <c:order val="1"/>
          <c:tx>
            <c:strRef>
              <c:f>INCO!$B$17</c:f>
              <c:strCache>
                <c:ptCount val="1"/>
                <c:pt idx="0">
                  <c:v>Linea B</c:v>
                </c:pt>
              </c:strCache>
            </c:strRef>
          </c:tx>
          <c:invertIfNegative val="0"/>
          <c:val>
            <c:numRef>
              <c:f>INCO!$D$18:$J$18</c:f>
              <c:numCache>
                <c:formatCode>#,##0</c:formatCode>
                <c:ptCount val="7"/>
                <c:pt idx="0">
                  <c:v>110000</c:v>
                </c:pt>
                <c:pt idx="1">
                  <c:v>124024.99999999999</c:v>
                </c:pt>
                <c:pt idx="2">
                  <c:v>139838.1875</c:v>
                </c:pt>
                <c:pt idx="3">
                  <c:v>150500.84929687498</c:v>
                </c:pt>
                <c:pt idx="4">
                  <c:v>161976.53905576168</c:v>
                </c:pt>
                <c:pt idx="5">
                  <c:v>174327.25015876352</c:v>
                </c:pt>
                <c:pt idx="6">
                  <c:v>185832.84866924191</c:v>
                </c:pt>
              </c:numCache>
            </c:numRef>
          </c:val>
        </c:ser>
        <c:ser>
          <c:idx val="2"/>
          <c:order val="2"/>
          <c:tx>
            <c:strRef>
              <c:f>INCO!$B$23</c:f>
              <c:strCache>
                <c:ptCount val="1"/>
                <c:pt idx="0">
                  <c:v>Linea C</c:v>
                </c:pt>
              </c:strCache>
            </c:strRef>
          </c:tx>
          <c:invertIfNegative val="0"/>
          <c:val>
            <c:numRef>
              <c:f>INCO!$D$24:$J$24</c:f>
              <c:numCache>
                <c:formatCode>#,##0</c:formatCode>
                <c:ptCount val="7"/>
                <c:pt idx="0">
                  <c:v>0</c:v>
                </c:pt>
                <c:pt idx="1">
                  <c:v>59962.5</c:v>
                </c:pt>
                <c:pt idx="2">
                  <c:v>67607.71875</c:v>
                </c:pt>
                <c:pt idx="3">
                  <c:v>76227.702890625005</c:v>
                </c:pt>
                <c:pt idx="4">
                  <c:v>80477.39732677734</c:v>
                </c:pt>
                <c:pt idx="5">
                  <c:v>84964.012227745174</c:v>
                </c:pt>
                <c:pt idx="6">
                  <c:v>89700.755909441985</c:v>
                </c:pt>
              </c:numCache>
            </c:numRef>
          </c:val>
        </c:ser>
        <c:ser>
          <c:idx val="3"/>
          <c:order val="3"/>
          <c:tx>
            <c:strRef>
              <c:f>INCO!$B$29</c:f>
              <c:strCache>
                <c:ptCount val="1"/>
                <c:pt idx="0">
                  <c:v>Linea D</c:v>
                </c:pt>
              </c:strCache>
            </c:strRef>
          </c:tx>
          <c:invertIfNegative val="0"/>
          <c:val>
            <c:numRef>
              <c:f>INCO!$D$30:$J$30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66189.375</c:v>
                </c:pt>
                <c:pt idx="3">
                  <c:v>74628.520312499997</c:v>
                </c:pt>
                <c:pt idx="4">
                  <c:v>78024.117986718746</c:v>
                </c:pt>
                <c:pt idx="5">
                  <c:v>81574.215355114444</c:v>
                </c:pt>
                <c:pt idx="6">
                  <c:v>85285.84215377213</c:v>
                </c:pt>
              </c:numCache>
            </c:numRef>
          </c:val>
        </c:ser>
        <c:ser>
          <c:idx val="4"/>
          <c:order val="4"/>
          <c:tx>
            <c:strRef>
              <c:f>INCO!$B$35</c:f>
              <c:strCache>
                <c:ptCount val="1"/>
                <c:pt idx="0">
                  <c:v>Linea E</c:v>
                </c:pt>
              </c:strCache>
            </c:strRef>
          </c:tx>
          <c:invertIfNegative val="0"/>
          <c:val>
            <c:numRef>
              <c:f>INCO!$D$36:$J$36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129226.87499999999</c:v>
                </c:pt>
                <c:pt idx="4">
                  <c:v>135106.69781249997</c:v>
                </c:pt>
                <c:pt idx="5">
                  <c:v>141254.05256296872</c:v>
                </c:pt>
                <c:pt idx="6">
                  <c:v>147681.11195458379</c:v>
                </c:pt>
              </c:numCache>
            </c:numRef>
          </c:val>
        </c:ser>
        <c:ser>
          <c:idx val="5"/>
          <c:order val="5"/>
          <c:tx>
            <c:strRef>
              <c:f>INCO!$B$41</c:f>
              <c:strCache>
                <c:ptCount val="1"/>
                <c:pt idx="0">
                  <c:v>Linea F</c:v>
                </c:pt>
              </c:strCache>
            </c:strRef>
          </c:tx>
          <c:invertIfNegative val="0"/>
          <c:val>
            <c:numRef>
              <c:f>INCO!$D$42:$J$42</c:f>
              <c:numCache>
                <c:formatCode>#,##0</c:formatCode>
                <c:ptCount val="7"/>
                <c:pt idx="0">
                  <c:v>46000</c:v>
                </c:pt>
                <c:pt idx="1">
                  <c:v>63647.375000000007</c:v>
                </c:pt>
                <c:pt idx="2">
                  <c:v>86947.571218750018</c:v>
                </c:pt>
                <c:pt idx="3">
                  <c:v>124082.9335502969</c:v>
                </c:pt>
                <c:pt idx="4">
                  <c:v>139127.01776028817</c:v>
                </c:pt>
                <c:pt idx="5">
                  <c:v>156018.41266638719</c:v>
                </c:pt>
                <c:pt idx="6">
                  <c:v>172138.21512000603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07056256"/>
        <c:axId val="207074432"/>
      </c:barChart>
      <c:catAx>
        <c:axId val="20705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07074432"/>
        <c:crosses val="autoZero"/>
        <c:auto val="1"/>
        <c:lblAlgn val="ctr"/>
        <c:lblOffset val="100"/>
        <c:noMultiLvlLbl val="0"/>
      </c:catAx>
      <c:valAx>
        <c:axId val="2070744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20705625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_tradnl"/>
              <a:t>Evolución costes variables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INCO!$C$95</c:f>
              <c:strCache>
                <c:ptCount val="1"/>
                <c:pt idx="0">
                  <c:v>MATERIAS PRIMAS Y AUXILIARES</c:v>
                </c:pt>
              </c:strCache>
            </c:strRef>
          </c:tx>
          <c:invertIfNegative val="0"/>
          <c:val>
            <c:numRef>
              <c:f>INCO!$D$95:$J$95</c:f>
              <c:numCache>
                <c:formatCode>#,##0</c:formatCode>
                <c:ptCount val="7"/>
                <c:pt idx="0">
                  <c:v>59620</c:v>
                </c:pt>
                <c:pt idx="1">
                  <c:v>81227.56</c:v>
                </c:pt>
                <c:pt idx="2">
                  <c:v>113924.99885875001</c:v>
                </c:pt>
                <c:pt idx="3">
                  <c:v>160510.22532134815</c:v>
                </c:pt>
                <c:pt idx="4">
                  <c:v>171465.54756105412</c:v>
                </c:pt>
                <c:pt idx="5">
                  <c:v>183247.98851833062</c:v>
                </c:pt>
                <c:pt idx="6">
                  <c:v>194673.76419392056</c:v>
                </c:pt>
              </c:numCache>
            </c:numRef>
          </c:val>
        </c:ser>
        <c:ser>
          <c:idx val="1"/>
          <c:order val="1"/>
          <c:tx>
            <c:strRef>
              <c:f>INCO!$C$96</c:f>
              <c:strCache>
                <c:ptCount val="1"/>
                <c:pt idx="0">
                  <c:v>OTROS COSTES DE EXPLOTACIÓN</c:v>
                </c:pt>
              </c:strCache>
            </c:strRef>
          </c:tx>
          <c:invertIfNegative val="0"/>
          <c:val>
            <c:numRef>
              <c:f>INCO!$D$96:$J$96</c:f>
              <c:numCache>
                <c:formatCode>#,##0</c:formatCode>
                <c:ptCount val="7"/>
                <c:pt idx="0">
                  <c:v>55100</c:v>
                </c:pt>
                <c:pt idx="1">
                  <c:v>71088.106249999997</c:v>
                </c:pt>
                <c:pt idx="2">
                  <c:v>89048.550682812507</c:v>
                </c:pt>
                <c:pt idx="3">
                  <c:v>118956.89309191956</c:v>
                </c:pt>
                <c:pt idx="4">
                  <c:v>127970.9202513737</c:v>
                </c:pt>
                <c:pt idx="5">
                  <c:v>137734.70461566132</c:v>
                </c:pt>
                <c:pt idx="6">
                  <c:v>147079.36535711758</c:v>
                </c:pt>
              </c:numCache>
            </c:numRef>
          </c:val>
        </c:ser>
        <c:ser>
          <c:idx val="2"/>
          <c:order val="2"/>
          <c:tx>
            <c:strRef>
              <c:f>INCO!$C$97</c:f>
              <c:strCache>
                <c:ptCount val="1"/>
                <c:pt idx="0">
                  <c:v>COSTES COMERCIALIZACIÓN</c:v>
                </c:pt>
              </c:strCache>
            </c:strRef>
          </c:tx>
          <c:invertIfNegative val="0"/>
          <c:val>
            <c:numRef>
              <c:f>INCO!$D$97:$J$97</c:f>
              <c:numCache>
                <c:formatCode>#,##0</c:formatCode>
                <c:ptCount val="7"/>
                <c:pt idx="0">
                  <c:v>40200</c:v>
                </c:pt>
                <c:pt idx="1">
                  <c:v>52510.493750000001</c:v>
                </c:pt>
                <c:pt idx="2">
                  <c:v>66583.776998437505</c:v>
                </c:pt>
                <c:pt idx="3">
                  <c:v>91237.907275952355</c:v>
                </c:pt>
                <c:pt idx="4">
                  <c:v>97595.712393353489</c:v>
                </c:pt>
                <c:pt idx="5">
                  <c:v>104431.58904473134</c:v>
                </c:pt>
                <c:pt idx="6">
                  <c:v>111004.69424799582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07656064"/>
        <c:axId val="207657600"/>
      </c:barChart>
      <c:catAx>
        <c:axId val="20765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07657600"/>
        <c:crosses val="autoZero"/>
        <c:auto val="1"/>
        <c:lblAlgn val="ctr"/>
        <c:lblOffset val="100"/>
        <c:noMultiLvlLbl val="0"/>
      </c:catAx>
      <c:valAx>
        <c:axId val="20765760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20765606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_tradnl"/>
              <a:t>Evolución costes fijos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INCO!$C$51</c:f>
              <c:strCache>
                <c:ptCount val="1"/>
                <c:pt idx="0">
                  <c:v>PERSONAL</c:v>
                </c:pt>
              </c:strCache>
            </c:strRef>
          </c:tx>
          <c:invertIfNegative val="0"/>
          <c:val>
            <c:numRef>
              <c:f>INCO!$D$51:$J$51</c:f>
              <c:numCache>
                <c:formatCode>#,##0</c:formatCode>
                <c:ptCount val="7"/>
                <c:pt idx="0">
                  <c:v>140000</c:v>
                </c:pt>
                <c:pt idx="1">
                  <c:v>153750</c:v>
                </c:pt>
                <c:pt idx="2">
                  <c:v>157593.75</c:v>
                </c:pt>
                <c:pt idx="3">
                  <c:v>161533.59374999997</c:v>
                </c:pt>
                <c:pt idx="4">
                  <c:v>165571.93359374994</c:v>
                </c:pt>
                <c:pt idx="5">
                  <c:v>169711.23193359366</c:v>
                </c:pt>
                <c:pt idx="6">
                  <c:v>173954.0127319335</c:v>
                </c:pt>
              </c:numCache>
            </c:numRef>
          </c:val>
        </c:ser>
        <c:ser>
          <c:idx val="1"/>
          <c:order val="1"/>
          <c:tx>
            <c:strRef>
              <c:f>INCO!$C$52</c:f>
              <c:strCache>
                <c:ptCount val="1"/>
                <c:pt idx="0">
                  <c:v>SUMINISTROS</c:v>
                </c:pt>
              </c:strCache>
            </c:strRef>
          </c:tx>
          <c:invertIfNegative val="0"/>
          <c:val>
            <c:numRef>
              <c:f>INCO!$D$52:$J$52</c:f>
              <c:numCache>
                <c:formatCode>#,##0</c:formatCode>
                <c:ptCount val="7"/>
                <c:pt idx="0">
                  <c:v>9000</c:v>
                </c:pt>
                <c:pt idx="1">
                  <c:v>9225</c:v>
                </c:pt>
                <c:pt idx="2">
                  <c:v>9455.625</c:v>
                </c:pt>
                <c:pt idx="3">
                  <c:v>9692.0156249999982</c:v>
                </c:pt>
                <c:pt idx="4">
                  <c:v>9934.316015624996</c:v>
                </c:pt>
                <c:pt idx="5">
                  <c:v>10182.673916015621</c:v>
                </c:pt>
                <c:pt idx="6">
                  <c:v>10437.240763916012</c:v>
                </c:pt>
              </c:numCache>
            </c:numRef>
          </c:val>
        </c:ser>
        <c:ser>
          <c:idx val="2"/>
          <c:order val="2"/>
          <c:tx>
            <c:strRef>
              <c:f>INCO!$C$53</c:f>
              <c:strCache>
                <c:ptCount val="1"/>
                <c:pt idx="0">
                  <c:v>GASTOS GENERALES</c:v>
                </c:pt>
              </c:strCache>
            </c:strRef>
          </c:tx>
          <c:invertIfNegative val="0"/>
          <c:val>
            <c:numRef>
              <c:f>INCO!$D$53:$J$53</c:f>
              <c:numCache>
                <c:formatCode>#,##0</c:formatCode>
                <c:ptCount val="7"/>
                <c:pt idx="0">
                  <c:v>30000</c:v>
                </c:pt>
                <c:pt idx="1">
                  <c:v>30749.999999999996</c:v>
                </c:pt>
                <c:pt idx="2">
                  <c:v>31518.749999999996</c:v>
                </c:pt>
                <c:pt idx="3">
                  <c:v>32306.718749999993</c:v>
                </c:pt>
                <c:pt idx="4">
                  <c:v>77266.902343749985</c:v>
                </c:pt>
                <c:pt idx="5">
                  <c:v>79198.574902343724</c:v>
                </c:pt>
                <c:pt idx="6">
                  <c:v>81178.539274902316</c:v>
                </c:pt>
              </c:numCache>
            </c:numRef>
          </c:val>
        </c:ser>
        <c:ser>
          <c:idx val="3"/>
          <c:order val="3"/>
          <c:tx>
            <c:strRef>
              <c:f>INCO!$C$54</c:f>
              <c:strCache>
                <c:ptCount val="1"/>
                <c:pt idx="0">
                  <c:v>ALQUILERES</c:v>
                </c:pt>
              </c:strCache>
            </c:strRef>
          </c:tx>
          <c:invertIfNegative val="0"/>
          <c:val>
            <c:numRef>
              <c:f>INCO!$D$54:$J$54</c:f>
              <c:numCache>
                <c:formatCode>#,##0</c:formatCode>
                <c:ptCount val="7"/>
                <c:pt idx="0">
                  <c:v>18000</c:v>
                </c:pt>
                <c:pt idx="1">
                  <c:v>18450</c:v>
                </c:pt>
                <c:pt idx="2">
                  <c:v>18911.25</c:v>
                </c:pt>
                <c:pt idx="3">
                  <c:v>19384.031249999996</c:v>
                </c:pt>
                <c:pt idx="4">
                  <c:v>19868.632031249992</c:v>
                </c:pt>
                <c:pt idx="5">
                  <c:v>20365.347832031242</c:v>
                </c:pt>
                <c:pt idx="6">
                  <c:v>20874.481527832024</c:v>
                </c:pt>
              </c:numCache>
            </c:numRef>
          </c:val>
        </c:ser>
        <c:ser>
          <c:idx val="4"/>
          <c:order val="4"/>
          <c:tx>
            <c:strRef>
              <c:f>INCO!$C$55</c:f>
              <c:strCache>
                <c:ptCount val="1"/>
                <c:pt idx="0">
                  <c:v>SEGUROS Y TRIBUTOS</c:v>
                </c:pt>
              </c:strCache>
            </c:strRef>
          </c:tx>
          <c:invertIfNegative val="0"/>
          <c:val>
            <c:numRef>
              <c:f>INCO!$D$55:$J$55</c:f>
              <c:numCache>
                <c:formatCode>#,##0</c:formatCode>
                <c:ptCount val="7"/>
                <c:pt idx="0">
                  <c:v>24000</c:v>
                </c:pt>
                <c:pt idx="1">
                  <c:v>24599.999999999996</c:v>
                </c:pt>
                <c:pt idx="2">
                  <c:v>25214.999999999996</c:v>
                </c:pt>
                <c:pt idx="3">
                  <c:v>47383.187499999993</c:v>
                </c:pt>
                <c:pt idx="4">
                  <c:v>48567.767187499987</c:v>
                </c:pt>
                <c:pt idx="5">
                  <c:v>49781.961367187483</c:v>
                </c:pt>
                <c:pt idx="6">
                  <c:v>51026.510401367166</c:v>
                </c:pt>
              </c:numCache>
            </c:numRef>
          </c:val>
        </c:ser>
        <c:ser>
          <c:idx val="5"/>
          <c:order val="5"/>
          <c:tx>
            <c:strRef>
              <c:f>INCO!$C$56</c:f>
              <c:strCache>
                <c:ptCount val="1"/>
                <c:pt idx="0">
                  <c:v>OTROS</c:v>
                </c:pt>
              </c:strCache>
            </c:strRef>
          </c:tx>
          <c:invertIfNegative val="0"/>
          <c:val>
            <c:numRef>
              <c:f>INCO!$D$56:$J$56</c:f>
              <c:numCache>
                <c:formatCode>#,##0</c:formatCode>
                <c:ptCount val="7"/>
                <c:pt idx="0">
                  <c:v>25000</c:v>
                </c:pt>
                <c:pt idx="1">
                  <c:v>25624.999999999996</c:v>
                </c:pt>
                <c:pt idx="2">
                  <c:v>26265.624999999996</c:v>
                </c:pt>
                <c:pt idx="3">
                  <c:v>26922.265624999996</c:v>
                </c:pt>
                <c:pt idx="4">
                  <c:v>27595.322265624993</c:v>
                </c:pt>
                <c:pt idx="5">
                  <c:v>28285.205322265614</c:v>
                </c:pt>
                <c:pt idx="6">
                  <c:v>28992.335455322253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07706752"/>
        <c:axId val="207716736"/>
      </c:barChart>
      <c:catAx>
        <c:axId val="207706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07716736"/>
        <c:crosses val="autoZero"/>
        <c:auto val="1"/>
        <c:lblAlgn val="ctr"/>
        <c:lblOffset val="100"/>
        <c:noMultiLvlLbl val="0"/>
      </c:catAx>
      <c:valAx>
        <c:axId val="207716736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20770675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ES_tradnl" sz="1200"/>
              <a:t>VAN</a:t>
            </a:r>
            <a:r>
              <a:rPr lang="es-ES_tradnl" sz="1200" baseline="0"/>
              <a:t> según tasa de descuento</a:t>
            </a:r>
            <a:endParaRPr lang="es-ES_tradnl" sz="1200"/>
          </a:p>
        </c:rich>
      </c:tx>
      <c:layout>
        <c:manualLayout>
          <c:xMode val="edge"/>
          <c:yMode val="edge"/>
          <c:x val="0.39174999999999999"/>
          <c:y val="6.4814814814814811E-2"/>
        </c:manualLayout>
      </c:layout>
      <c:overlay val="1"/>
    </c:title>
    <c:autoTitleDeleted val="0"/>
    <c:plotArea>
      <c:layout/>
      <c:lineChart>
        <c:grouping val="standard"/>
        <c:varyColors val="0"/>
        <c:ser>
          <c:idx val="1"/>
          <c:order val="0"/>
          <c:marker>
            <c:symbol val="none"/>
          </c:marker>
          <c:cat>
            <c:numRef>
              <c:f>RENTAB!$B$37:$B$67</c:f>
              <c:numCache>
                <c:formatCode>0%</c:formatCode>
                <c:ptCount val="31"/>
                <c:pt idx="0">
                  <c:v>0.04</c:v>
                </c:pt>
                <c:pt idx="1">
                  <c:v>0.05</c:v>
                </c:pt>
                <c:pt idx="2">
                  <c:v>6.0000000000000005E-2</c:v>
                </c:pt>
                <c:pt idx="3">
                  <c:v>7.0000000000000007E-2</c:v>
                </c:pt>
                <c:pt idx="4">
                  <c:v>0.08</c:v>
                </c:pt>
                <c:pt idx="5">
                  <c:v>0.09</c:v>
                </c:pt>
                <c:pt idx="6">
                  <c:v>9.9999999999999992E-2</c:v>
                </c:pt>
                <c:pt idx="7">
                  <c:v>0.10999999999999999</c:v>
                </c:pt>
                <c:pt idx="8">
                  <c:v>0.11999999999999998</c:v>
                </c:pt>
                <c:pt idx="9">
                  <c:v>0.12999999999999998</c:v>
                </c:pt>
                <c:pt idx="10">
                  <c:v>0.13999999999999999</c:v>
                </c:pt>
                <c:pt idx="11">
                  <c:v>0.15</c:v>
                </c:pt>
                <c:pt idx="12">
                  <c:v>0.16</c:v>
                </c:pt>
                <c:pt idx="13">
                  <c:v>0.17</c:v>
                </c:pt>
                <c:pt idx="14">
                  <c:v>0.18000000000000002</c:v>
                </c:pt>
                <c:pt idx="15">
                  <c:v>0.19000000000000003</c:v>
                </c:pt>
                <c:pt idx="16">
                  <c:v>0.20000000000000004</c:v>
                </c:pt>
                <c:pt idx="17">
                  <c:v>0.21000000000000005</c:v>
                </c:pt>
                <c:pt idx="18">
                  <c:v>0.22000000000000006</c:v>
                </c:pt>
                <c:pt idx="19">
                  <c:v>0.23000000000000007</c:v>
                </c:pt>
                <c:pt idx="20">
                  <c:v>0.24000000000000007</c:v>
                </c:pt>
                <c:pt idx="21">
                  <c:v>0.25000000000000006</c:v>
                </c:pt>
                <c:pt idx="22">
                  <c:v>0.26000000000000006</c:v>
                </c:pt>
                <c:pt idx="23">
                  <c:v>0.27000000000000007</c:v>
                </c:pt>
                <c:pt idx="24">
                  <c:v>0.28000000000000008</c:v>
                </c:pt>
                <c:pt idx="25">
                  <c:v>0.29000000000000009</c:v>
                </c:pt>
                <c:pt idx="26">
                  <c:v>0.3000000000000001</c:v>
                </c:pt>
                <c:pt idx="27">
                  <c:v>0.31000000000000011</c:v>
                </c:pt>
                <c:pt idx="28">
                  <c:v>0.32000000000000012</c:v>
                </c:pt>
                <c:pt idx="29">
                  <c:v>0.33000000000000013</c:v>
                </c:pt>
                <c:pt idx="30">
                  <c:v>0.34000000000000014</c:v>
                </c:pt>
              </c:numCache>
            </c:numRef>
          </c:cat>
          <c:val>
            <c:numRef>
              <c:f>RENTAB!$C$37:$C$67</c:f>
              <c:numCache>
                <c:formatCode>#,##0</c:formatCode>
                <c:ptCount val="31"/>
                <c:pt idx="0">
                  <c:v>20137598.185048174</c:v>
                </c:pt>
                <c:pt idx="1">
                  <c:v>9463859.6836920027</c:v>
                </c:pt>
                <c:pt idx="2">
                  <c:v>5902830.489358319</c:v>
                </c:pt>
                <c:pt idx="3">
                  <c:v>4120629.9030086556</c:v>
                </c:pt>
                <c:pt idx="4">
                  <c:v>3050420.514006306</c:v>
                </c:pt>
                <c:pt idx="5">
                  <c:v>2336544.3891753699</c:v>
                </c:pt>
                <c:pt idx="6">
                  <c:v>1826541.9897114458</c:v>
                </c:pt>
                <c:pt idx="7">
                  <c:v>1444156.4845949099</c:v>
                </c:pt>
                <c:pt idx="8">
                  <c:v>1147001.528667911</c:v>
                </c:pt>
                <c:pt idx="9">
                  <c:v>909628.11421117501</c:v>
                </c:pt>
                <c:pt idx="10">
                  <c:v>715827.47645565774</c:v>
                </c:pt>
                <c:pt idx="11">
                  <c:v>554782.37681261892</c:v>
                </c:pt>
                <c:pt idx="12">
                  <c:v>418994.57822458871</c:v>
                </c:pt>
                <c:pt idx="13">
                  <c:v>303100.43111971451</c:v>
                </c:pt>
                <c:pt idx="14">
                  <c:v>203160.13031642674</c:v>
                </c:pt>
                <c:pt idx="15">
                  <c:v>116213.42173004942</c:v>
                </c:pt>
                <c:pt idx="16">
                  <c:v>39992.052477912046</c:v>
                </c:pt>
                <c:pt idx="17">
                  <c:v>-27271.984521247447</c:v>
                </c:pt>
                <c:pt idx="18">
                  <c:v>-86977.698411486868</c:v>
                </c:pt>
                <c:pt idx="19">
                  <c:v>-140247.01352839632</c:v>
                </c:pt>
                <c:pt idx="20">
                  <c:v>-187990.45528880518</c:v>
                </c:pt>
                <c:pt idx="21">
                  <c:v>-230954.95041626145</c:v>
                </c:pt>
                <c:pt idx="22">
                  <c:v>-269759.18203117314</c:v>
                </c:pt>
                <c:pt idx="23">
                  <c:v>-304920.12693881802</c:v>
                </c:pt>
                <c:pt idx="24">
                  <c:v>-336873.2419678492</c:v>
                </c:pt>
                <c:pt idx="25">
                  <c:v>-365988.00740636198</c:v>
                </c:pt>
                <c:pt idx="26">
                  <c:v>-392580.02968707506</c:v>
                </c:pt>
                <c:pt idx="27">
                  <c:v>-416920.56216557079</c:v>
                </c:pt>
                <c:pt idx="28">
                  <c:v>-439244.06605360145</c:v>
                </c:pt>
                <c:pt idx="29">
                  <c:v>-459754.26780668518</c:v>
                </c:pt>
                <c:pt idx="30">
                  <c:v>-478629.0516139887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345536"/>
        <c:axId val="207347072"/>
      </c:lineChart>
      <c:catAx>
        <c:axId val="207345536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207347072"/>
        <c:crosses val="autoZero"/>
        <c:auto val="1"/>
        <c:lblAlgn val="ctr"/>
        <c:lblOffset val="100"/>
        <c:noMultiLvlLbl val="0"/>
      </c:catAx>
      <c:valAx>
        <c:axId val="207347072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crossAx val="2073455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_tradnl"/>
              <a:t>VAN y TIR según escenarios</a:t>
            </a:r>
          </a:p>
        </c:rich>
      </c:tx>
      <c:layout>
        <c:manualLayout>
          <c:xMode val="edge"/>
          <c:yMode val="edge"/>
          <c:x val="0.3680672107767351"/>
          <c:y val="3.831417624521072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268917631399059"/>
          <c:y val="0.21456018977561456"/>
          <c:w val="0.80000065651314611"/>
          <c:h val="0.6934891848104661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ESCENARIOS!$C$15:$D$15</c:f>
              <c:strCache>
                <c:ptCount val="1"/>
                <c:pt idx="0">
                  <c:v>VAN DEL PROYECTO 1.147.002 Eur</c:v>
                </c:pt>
              </c:strCache>
            </c:strRef>
          </c:tx>
          <c:spPr>
            <a:solidFill>
              <a:srgbClr val="A6CA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ESCENARIOS!$E$14:$G$14</c:f>
              <c:strCache>
                <c:ptCount val="3"/>
                <c:pt idx="0">
                  <c:v>Pesimista</c:v>
                </c:pt>
                <c:pt idx="1">
                  <c:v>Base</c:v>
                </c:pt>
                <c:pt idx="2">
                  <c:v>Optimista</c:v>
                </c:pt>
              </c:strCache>
            </c:strRef>
          </c:cat>
          <c:val>
            <c:numRef>
              <c:f>ESCENARIOS!$E$15:$G$15</c:f>
              <c:numCache>
                <c:formatCode>#,##0" Eur";\-#,##0" Eur"</c:formatCode>
                <c:ptCount val="3"/>
                <c:pt idx="0">
                  <c:v>-222446.16899732198</c:v>
                </c:pt>
                <c:pt idx="1">
                  <c:v>1147001.5286679086</c:v>
                </c:pt>
                <c:pt idx="2">
                  <c:v>2292454.7093747025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1308416"/>
        <c:axId val="221310336"/>
      </c:barChart>
      <c:lineChart>
        <c:grouping val="standard"/>
        <c:varyColors val="0"/>
        <c:ser>
          <c:idx val="0"/>
          <c:order val="1"/>
          <c:tx>
            <c:strRef>
              <c:f>ESCENARIOS!$C$16:$D$16</c:f>
              <c:strCache>
                <c:ptCount val="1"/>
                <c:pt idx="0">
                  <c:v>TIR DEL PROYECTO 27,87%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ESCENARIOS!$E$14:$G$14</c:f>
              <c:strCache>
                <c:ptCount val="3"/>
                <c:pt idx="0">
                  <c:v>Pesimista</c:v>
                </c:pt>
                <c:pt idx="1">
                  <c:v>Base</c:v>
                </c:pt>
                <c:pt idx="2">
                  <c:v>Optimista</c:v>
                </c:pt>
              </c:strCache>
            </c:strRef>
          </c:cat>
          <c:val>
            <c:numRef>
              <c:f>ESCENARIOS!$E$16:$G$16</c:f>
              <c:numCache>
                <c:formatCode>0.00%</c:formatCode>
                <c:ptCount val="3"/>
                <c:pt idx="0">
                  <c:v>7.9580447181472502E-2</c:v>
                </c:pt>
                <c:pt idx="1">
                  <c:v>0.27868851119871474</c:v>
                </c:pt>
                <c:pt idx="2">
                  <c:v>0.40389130176808963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312128"/>
        <c:axId val="221313664"/>
      </c:lineChart>
      <c:catAx>
        <c:axId val="22130841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3103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31033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308416"/>
        <c:crosses val="autoZero"/>
        <c:crossBetween val="between"/>
      </c:valAx>
      <c:catAx>
        <c:axId val="221312128"/>
        <c:scaling>
          <c:orientation val="minMax"/>
        </c:scaling>
        <c:delete val="1"/>
        <c:axPos val="b"/>
        <c:majorTickMark val="out"/>
        <c:minorTickMark val="none"/>
        <c:tickLblPos val="nextTo"/>
        <c:crossAx val="221313664"/>
        <c:crosses val="autoZero"/>
        <c:auto val="0"/>
        <c:lblAlgn val="ctr"/>
        <c:lblOffset val="100"/>
        <c:noMultiLvlLbl val="0"/>
      </c:catAx>
      <c:valAx>
        <c:axId val="221313664"/>
        <c:scaling>
          <c:orientation val="minMax"/>
        </c:scaling>
        <c:delete val="0"/>
        <c:axPos val="r"/>
        <c:numFmt formatCode="0%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312128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Page &amp;P</c:oddFooter>
    </c:headerFooter>
    <c:pageMargins b="1" l="0.75000000000000122" r="0.75000000000000122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_tradnl"/>
              <a:t>Estructura de los escenarios</a:t>
            </a:r>
          </a:p>
        </c:rich>
      </c:tx>
      <c:layout>
        <c:manualLayout>
          <c:xMode val="edge"/>
          <c:yMode val="edge"/>
          <c:x val="0.35708268898820084"/>
          <c:y val="2.144775381338202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881160688247303E-2"/>
          <c:y val="0.12337975114221851"/>
          <c:w val="0.68392615923009614"/>
          <c:h val="0.61870399533391662"/>
        </c:manualLayout>
      </c:layout>
      <c:barChart>
        <c:barDir val="bar"/>
        <c:grouping val="clustered"/>
        <c:varyColors val="0"/>
        <c:ser>
          <c:idx val="0"/>
          <c:order val="0"/>
          <c:tx>
            <c:v>Pesimista</c:v>
          </c:tx>
          <c:invertIfNegative val="0"/>
          <c:cat>
            <c:strRef>
              <c:f>ESCENARIOS!$B$6:$B$11</c:f>
              <c:strCache>
                <c:ptCount val="6"/>
                <c:pt idx="0">
                  <c:v>Inversión</c:v>
                </c:pt>
                <c:pt idx="1">
                  <c:v>Nivel de Actividad</c:v>
                </c:pt>
                <c:pt idx="2">
                  <c:v>Precio</c:v>
                </c:pt>
                <c:pt idx="3">
                  <c:v>Costes</c:v>
                </c:pt>
                <c:pt idx="4">
                  <c:v>Crecimiento</c:v>
                </c:pt>
                <c:pt idx="5">
                  <c:v>Subvenciones</c:v>
                </c:pt>
              </c:strCache>
            </c:strRef>
          </c:cat>
          <c:val>
            <c:numRef>
              <c:f>ESCENARIOS!$E$6:$E$11</c:f>
              <c:numCache>
                <c:formatCode>0.0%</c:formatCode>
                <c:ptCount val="6"/>
                <c:pt idx="0">
                  <c:v>1.05</c:v>
                </c:pt>
                <c:pt idx="1">
                  <c:v>0.9</c:v>
                </c:pt>
                <c:pt idx="2">
                  <c:v>0.95</c:v>
                </c:pt>
                <c:pt idx="3">
                  <c:v>1.05</c:v>
                </c:pt>
                <c:pt idx="4">
                  <c:v>0.9</c:v>
                </c:pt>
                <c:pt idx="5">
                  <c:v>0.8</c:v>
                </c:pt>
              </c:numCache>
            </c:numRef>
          </c:val>
        </c:ser>
        <c:ser>
          <c:idx val="1"/>
          <c:order val="1"/>
          <c:tx>
            <c:v>Optimista</c:v>
          </c:tx>
          <c:invertIfNegative val="0"/>
          <c:cat>
            <c:strRef>
              <c:f>ESCENARIOS!$B$6:$B$11</c:f>
              <c:strCache>
                <c:ptCount val="6"/>
                <c:pt idx="0">
                  <c:v>Inversión</c:v>
                </c:pt>
                <c:pt idx="1">
                  <c:v>Nivel de Actividad</c:v>
                </c:pt>
                <c:pt idx="2">
                  <c:v>Precio</c:v>
                </c:pt>
                <c:pt idx="3">
                  <c:v>Costes</c:v>
                </c:pt>
                <c:pt idx="4">
                  <c:v>Crecimiento</c:v>
                </c:pt>
                <c:pt idx="5">
                  <c:v>Subvenciones</c:v>
                </c:pt>
              </c:strCache>
            </c:strRef>
          </c:cat>
          <c:val>
            <c:numRef>
              <c:f>ESCENARIOS!$G$6:$G$11</c:f>
              <c:numCache>
                <c:formatCode>0.0%</c:formatCode>
                <c:ptCount val="6"/>
                <c:pt idx="0">
                  <c:v>0.95</c:v>
                </c:pt>
                <c:pt idx="1">
                  <c:v>1.05</c:v>
                </c:pt>
                <c:pt idx="2">
                  <c:v>1.05</c:v>
                </c:pt>
                <c:pt idx="3">
                  <c:v>0.95</c:v>
                </c:pt>
                <c:pt idx="4">
                  <c:v>1.05</c:v>
                </c:pt>
                <c:pt idx="5">
                  <c:v>1.1000000000000001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8018432"/>
        <c:axId val="208040704"/>
      </c:barChart>
      <c:catAx>
        <c:axId val="2080184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08040704"/>
        <c:crossesAt val="1"/>
        <c:auto val="1"/>
        <c:lblAlgn val="ctr"/>
        <c:lblOffset val="100"/>
        <c:noMultiLvlLbl val="0"/>
      </c:catAx>
      <c:valAx>
        <c:axId val="208040704"/>
        <c:scaling>
          <c:orientation val="minMax"/>
          <c:max val="1.1500000000000001"/>
          <c:min val="0.85000000000000064"/>
        </c:scaling>
        <c:delete val="0"/>
        <c:axPos val="b"/>
        <c:numFmt formatCode="General" sourceLinked="0"/>
        <c:majorTickMark val="out"/>
        <c:minorTickMark val="out"/>
        <c:tickLblPos val="nextTo"/>
        <c:txPr>
          <a:bodyPr rot="-36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080184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5202960440755718"/>
          <c:y val="0.89939031534101721"/>
          <c:w val="0.29520304556525029"/>
          <c:h val="7.3170679751987544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333375</xdr:colOff>
      <xdr:row>57</xdr:row>
      <xdr:rowOff>142875</xdr:rowOff>
    </xdr:from>
    <xdr:to>
      <xdr:col>7</xdr:col>
      <xdr:colOff>485775</xdr:colOff>
      <xdr:row>74</xdr:row>
      <xdr:rowOff>133350</xdr:rowOff>
    </xdr:to>
    <xdr:graphicFrame macro="">
      <xdr:nvGraphicFramePr>
        <xdr:cNvPr id="823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438150</xdr:colOff>
      <xdr:row>151</xdr:row>
      <xdr:rowOff>85725</xdr:rowOff>
    </xdr:from>
    <xdr:to>
      <xdr:col>6</xdr:col>
      <xdr:colOff>514350</xdr:colOff>
      <xdr:row>170</xdr:row>
      <xdr:rowOff>114300</xdr:rowOff>
    </xdr:to>
    <xdr:graphicFrame macro="">
      <xdr:nvGraphicFramePr>
        <xdr:cNvPr id="644242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457200</xdr:colOff>
      <xdr:row>109</xdr:row>
      <xdr:rowOff>142875</xdr:rowOff>
    </xdr:from>
    <xdr:to>
      <xdr:col>5</xdr:col>
      <xdr:colOff>581025</xdr:colOff>
      <xdr:row>129</xdr:row>
      <xdr:rowOff>9525</xdr:rowOff>
    </xdr:to>
    <xdr:graphicFrame macro="">
      <xdr:nvGraphicFramePr>
        <xdr:cNvPr id="64424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400050</xdr:colOff>
      <xdr:row>130</xdr:row>
      <xdr:rowOff>19050</xdr:rowOff>
    </xdr:from>
    <xdr:to>
      <xdr:col>5</xdr:col>
      <xdr:colOff>523875</xdr:colOff>
      <xdr:row>149</xdr:row>
      <xdr:rowOff>133350</xdr:rowOff>
    </xdr:to>
    <xdr:graphicFrame macro="">
      <xdr:nvGraphicFramePr>
        <xdr:cNvPr id="64424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85725</xdr:colOff>
      <xdr:row>130</xdr:row>
      <xdr:rowOff>0</xdr:rowOff>
    </xdr:from>
    <xdr:to>
      <xdr:col>12</xdr:col>
      <xdr:colOff>590550</xdr:colOff>
      <xdr:row>149</xdr:row>
      <xdr:rowOff>28575</xdr:rowOff>
    </xdr:to>
    <xdr:graphicFrame macro="">
      <xdr:nvGraphicFramePr>
        <xdr:cNvPr id="64424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85725</xdr:colOff>
      <xdr:row>110</xdr:row>
      <xdr:rowOff>19050</xdr:rowOff>
    </xdr:from>
    <xdr:to>
      <xdr:col>12</xdr:col>
      <xdr:colOff>590550</xdr:colOff>
      <xdr:row>129</xdr:row>
      <xdr:rowOff>47625</xdr:rowOff>
    </xdr:to>
    <xdr:graphicFrame macro="">
      <xdr:nvGraphicFramePr>
        <xdr:cNvPr id="64424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35</xdr:row>
      <xdr:rowOff>133350</xdr:rowOff>
    </xdr:from>
    <xdr:to>
      <xdr:col>11</xdr:col>
      <xdr:colOff>409575</xdr:colOff>
      <xdr:row>55</xdr:row>
      <xdr:rowOff>19050</xdr:rowOff>
    </xdr:to>
    <xdr:graphicFrame macro="">
      <xdr:nvGraphicFramePr>
        <xdr:cNvPr id="7255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1276350</xdr:colOff>
      <xdr:row>22</xdr:row>
      <xdr:rowOff>66675</xdr:rowOff>
    </xdr:from>
    <xdr:to>
      <xdr:col>7</xdr:col>
      <xdr:colOff>190500</xdr:colOff>
      <xdr:row>37</xdr:row>
      <xdr:rowOff>123825</xdr:rowOff>
    </xdr:to>
    <xdr:graphicFrame macro="">
      <xdr:nvGraphicFramePr>
        <xdr:cNvPr id="19506" name="Chart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619125</xdr:colOff>
      <xdr:row>0</xdr:row>
      <xdr:rowOff>123825</xdr:rowOff>
    </xdr:from>
    <xdr:to>
      <xdr:col>15</xdr:col>
      <xdr:colOff>447675</xdr:colOff>
      <xdr:row>20</xdr:row>
      <xdr:rowOff>95250</xdr:rowOff>
    </xdr:to>
    <xdr:graphicFrame macro="">
      <xdr:nvGraphicFramePr>
        <xdr:cNvPr id="19507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809625</xdr:colOff>
          <xdr:row>20</xdr:row>
          <xdr:rowOff>38100</xdr:rowOff>
        </xdr:from>
        <xdr:to>
          <xdr:col>5</xdr:col>
          <xdr:colOff>971550</xdr:colOff>
          <xdr:row>21</xdr:row>
          <xdr:rowOff>95250</xdr:rowOff>
        </xdr:to>
        <xdr:sp macro="" textlink="">
          <xdr:nvSpPr>
            <xdr:cNvPr id="19477" name="Button 21" hidden="1">
              <a:extLst>
                <a:ext uri="{63B3BB69-23CF-44E3-9099-C40C66FF867C}">
                  <a14:compatExt spid="_x0000_s194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Pulsar F9 para actualizar Tabla</a:t>
              </a:r>
              <a:endParaRPr lang="es-ES"/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257174</xdr:colOff>
      <xdr:row>54</xdr:row>
      <xdr:rowOff>157162</xdr:rowOff>
    </xdr:from>
    <xdr:to>
      <xdr:col>5</xdr:col>
      <xdr:colOff>628650</xdr:colOff>
      <xdr:row>75</xdr:row>
      <xdr:rowOff>38100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371475</xdr:colOff>
      <xdr:row>18</xdr:row>
      <xdr:rowOff>38100</xdr:rowOff>
    </xdr:from>
    <xdr:to>
      <xdr:col>9</xdr:col>
      <xdr:colOff>285750</xdr:colOff>
      <xdr:row>34</xdr:row>
      <xdr:rowOff>66675</xdr:rowOff>
    </xdr:to>
    <xdr:graphicFrame macro="">
      <xdr:nvGraphicFramePr>
        <xdr:cNvPr id="623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38100</xdr:colOff>
      <xdr:row>0</xdr:row>
      <xdr:rowOff>123825</xdr:rowOff>
    </xdr:from>
    <xdr:to>
      <xdr:col>16</xdr:col>
      <xdr:colOff>295275</xdr:colOff>
      <xdr:row>20</xdr:row>
      <xdr:rowOff>19050</xdr:rowOff>
    </xdr:to>
    <xdr:graphicFrame macro="">
      <xdr:nvGraphicFramePr>
        <xdr:cNvPr id="62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114300</xdr:colOff>
          <xdr:row>11</xdr:row>
          <xdr:rowOff>66675</xdr:rowOff>
        </xdr:from>
        <xdr:to>
          <xdr:col>7</xdr:col>
          <xdr:colOff>0</xdr:colOff>
          <xdr:row>12</xdr:row>
          <xdr:rowOff>142875</xdr:rowOff>
        </xdr:to>
        <xdr:sp macro="" textlink="">
          <xdr:nvSpPr>
            <xdr:cNvPr id="6163" name="Button 19" hidden="1">
              <a:extLst>
                <a:ext uri="{63B3BB69-23CF-44E3-9099-C40C66FF867C}">
                  <a14:compatExt spid="_x0000_s61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Pulsar F9 para actualizar Tabla</a:t>
              </a:r>
              <a:endParaRPr lang="es-ES"/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46</xdr:row>
      <xdr:rowOff>152400</xdr:rowOff>
    </xdr:from>
    <xdr:to>
      <xdr:col>6</xdr:col>
      <xdr:colOff>504825</xdr:colOff>
      <xdr:row>68</xdr:row>
      <xdr:rowOff>28575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47625</xdr:colOff>
      <xdr:row>68</xdr:row>
      <xdr:rowOff>152400</xdr:rowOff>
    </xdr:from>
    <xdr:to>
      <xdr:col>6</xdr:col>
      <xdr:colOff>533400</xdr:colOff>
      <xdr:row>85</xdr:row>
      <xdr:rowOff>47625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6" Type="http://schemas.openxmlformats.org/officeDocument/2006/relationships/comments" Target="../comments3.xml"/><Relationship Id="rId5" Type="http://schemas.openxmlformats.org/officeDocument/2006/relationships/vmlDrawing" Target="../drawings/vmlDrawing3.vm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6" Type="http://schemas.openxmlformats.org/officeDocument/2006/relationships/comments" Target="../comments5.xml"/><Relationship Id="rId5" Type="http://schemas.openxmlformats.org/officeDocument/2006/relationships/vmlDrawing" Target="../drawings/vmlDrawing5.vml"/><Relationship Id="rId4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0.bin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3.bin"/><Relationship Id="rId7" Type="http://schemas.openxmlformats.org/officeDocument/2006/relationships/comments" Target="../comments6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ctrlProp" Target="../ctrlProps/ctrlProp2.xml"/><Relationship Id="rId5" Type="http://schemas.openxmlformats.org/officeDocument/2006/relationships/vmlDrawing" Target="../drawings/vmlDrawing7.vml"/><Relationship Id="rId4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>
    <pageSetUpPr autoPageBreaks="0"/>
  </sheetPr>
  <dimension ref="A1:L100"/>
  <sheetViews>
    <sheetView showGridLines="0" tabSelected="1" workbookViewId="0">
      <pane ySplit="1" topLeftCell="A2" activePane="bottomLeft" state="frozen"/>
      <selection pane="bottomLeft" activeCell="G6" sqref="G6"/>
    </sheetView>
  </sheetViews>
  <sheetFormatPr baseColWidth="10" defaultRowHeight="11.25" outlineLevelRow="1"/>
  <cols>
    <col min="1" max="1" width="9.42578125" style="14" customWidth="1"/>
    <col min="2" max="2" width="27.7109375" style="2" bestFit="1" customWidth="1"/>
    <col min="3" max="3" width="12.140625" style="2" customWidth="1"/>
    <col min="4" max="4" width="14.85546875" style="2" customWidth="1"/>
    <col min="5" max="5" width="11.7109375" style="2" customWidth="1"/>
    <col min="6" max="6" width="13.7109375" style="2" customWidth="1"/>
    <col min="7" max="7" width="14.7109375" style="2" customWidth="1"/>
    <col min="8" max="8" width="12.28515625" style="2" customWidth="1"/>
    <col min="9" max="9" width="7.5703125" style="2" customWidth="1"/>
    <col min="10" max="10" width="6.7109375" style="2" customWidth="1"/>
    <col min="11" max="11" width="8.28515625" style="2" customWidth="1"/>
    <col min="12" max="16384" width="11.42578125" style="2"/>
  </cols>
  <sheetData>
    <row r="1" spans="2:6">
      <c r="B1" s="325" t="s">
        <v>222</v>
      </c>
      <c r="C1" s="395" t="str">
        <f>TES!B33</f>
        <v>OK</v>
      </c>
      <c r="D1" s="351" t="s">
        <v>239</v>
      </c>
      <c r="E1" s="352">
        <f>RENTAB!C19</f>
        <v>0.27868851119871474</v>
      </c>
      <c r="F1" s="396" t="str">
        <f>ESCENARIOS!C5</f>
        <v>Escenario  Base</v>
      </c>
    </row>
    <row r="3" spans="2:6">
      <c r="B3" s="3" t="s">
        <v>246</v>
      </c>
    </row>
    <row r="4" spans="2:6" outlineLevel="1">
      <c r="B4" s="11" t="s">
        <v>8</v>
      </c>
      <c r="C4" s="217">
        <v>2.5000000000000001E-2</v>
      </c>
    </row>
    <row r="5" spans="2:6" outlineLevel="1">
      <c r="B5" s="11" t="s">
        <v>80</v>
      </c>
      <c r="C5" s="30">
        <v>0.25</v>
      </c>
    </row>
    <row r="6" spans="2:6" outlineLevel="1">
      <c r="B6" s="11" t="s">
        <v>207</v>
      </c>
      <c r="C6" s="164">
        <v>0.12</v>
      </c>
    </row>
    <row r="7" spans="2:6">
      <c r="B7" s="11" t="s">
        <v>121</v>
      </c>
      <c r="C7" s="164">
        <v>0.03</v>
      </c>
    </row>
    <row r="8" spans="2:6">
      <c r="B8" s="11"/>
    </row>
    <row r="9" spans="2:6" ht="12" thickBot="1">
      <c r="B9" s="3" t="s">
        <v>23</v>
      </c>
      <c r="D9" s="51"/>
      <c r="E9" s="51"/>
    </row>
    <row r="10" spans="2:6" outlineLevel="1">
      <c r="B10" s="266" t="s">
        <v>145</v>
      </c>
      <c r="C10" s="360" t="s">
        <v>7</v>
      </c>
      <c r="D10" s="360" t="s">
        <v>5</v>
      </c>
      <c r="E10" s="78" t="s">
        <v>216</v>
      </c>
      <c r="F10" s="359" t="s">
        <v>93</v>
      </c>
    </row>
    <row r="11" spans="2:6" outlineLevel="1">
      <c r="B11" s="82" t="s">
        <v>163</v>
      </c>
      <c r="C11" s="508">
        <v>50000</v>
      </c>
      <c r="D11" s="509">
        <v>1</v>
      </c>
      <c r="E11" s="506">
        <v>0.22</v>
      </c>
      <c r="F11" s="507">
        <v>0.05</v>
      </c>
    </row>
    <row r="12" spans="2:6" outlineLevel="1">
      <c r="B12" s="82" t="s">
        <v>164</v>
      </c>
      <c r="C12" s="508">
        <v>25000</v>
      </c>
      <c r="D12" s="509">
        <v>1</v>
      </c>
      <c r="E12" s="506">
        <v>0.03</v>
      </c>
      <c r="F12" s="507">
        <v>7.0000000000000007E-2</v>
      </c>
    </row>
    <row r="13" spans="2:6" outlineLevel="1">
      <c r="B13" s="82" t="s">
        <v>165</v>
      </c>
      <c r="C13" s="508">
        <v>50000</v>
      </c>
      <c r="D13" s="509">
        <v>1</v>
      </c>
      <c r="E13" s="506">
        <v>0.03</v>
      </c>
      <c r="F13" s="507">
        <v>7.0000000000000007E-2</v>
      </c>
    </row>
    <row r="14" spans="2:6" outlineLevel="1">
      <c r="B14" s="82" t="s">
        <v>166</v>
      </c>
      <c r="C14" s="508">
        <v>120000</v>
      </c>
      <c r="D14" s="509">
        <v>3</v>
      </c>
      <c r="E14" s="506">
        <v>0.03</v>
      </c>
      <c r="F14" s="507">
        <v>7.0000000000000007E-2</v>
      </c>
    </row>
    <row r="15" spans="2:6" outlineLevel="1">
      <c r="B15" s="82" t="s">
        <v>167</v>
      </c>
      <c r="C15" s="508">
        <v>100</v>
      </c>
      <c r="D15" s="509">
        <v>1</v>
      </c>
      <c r="E15" s="506">
        <v>0.12</v>
      </c>
      <c r="F15" s="507">
        <v>0.16</v>
      </c>
    </row>
    <row r="16" spans="2:6" outlineLevel="1">
      <c r="B16" s="82" t="s">
        <v>168</v>
      </c>
      <c r="C16" s="508">
        <v>100</v>
      </c>
      <c r="D16" s="509">
        <v>1</v>
      </c>
      <c r="E16" s="506">
        <v>0.15</v>
      </c>
      <c r="F16" s="507">
        <v>0.16</v>
      </c>
    </row>
    <row r="17" spans="2:6" outlineLevel="1">
      <c r="B17" s="82" t="s">
        <v>169</v>
      </c>
      <c r="C17" s="508">
        <v>100</v>
      </c>
      <c r="D17" s="509">
        <v>1</v>
      </c>
      <c r="E17" s="506">
        <v>0.18</v>
      </c>
      <c r="F17" s="507">
        <v>0.16</v>
      </c>
    </row>
    <row r="18" spans="2:6" outlineLevel="1">
      <c r="B18" s="82" t="s">
        <v>170</v>
      </c>
      <c r="C18" s="508">
        <v>120</v>
      </c>
      <c r="D18" s="509">
        <v>1</v>
      </c>
      <c r="E18" s="506">
        <v>0.12</v>
      </c>
      <c r="F18" s="507">
        <v>0.16</v>
      </c>
    </row>
    <row r="19" spans="2:6" outlineLevel="1">
      <c r="B19" s="82" t="s">
        <v>171</v>
      </c>
      <c r="C19" s="508">
        <v>380000</v>
      </c>
      <c r="D19" s="509">
        <v>2</v>
      </c>
      <c r="E19" s="506">
        <v>0.18</v>
      </c>
      <c r="F19" s="507">
        <v>0.16</v>
      </c>
    </row>
    <row r="20" spans="2:6" outlineLevel="1">
      <c r="B20" s="82" t="s">
        <v>172</v>
      </c>
      <c r="C20" s="508">
        <v>100</v>
      </c>
      <c r="D20" s="509">
        <v>1</v>
      </c>
      <c r="E20" s="506">
        <v>0.18</v>
      </c>
      <c r="F20" s="507">
        <v>0.16</v>
      </c>
    </row>
    <row r="21" spans="2:6" outlineLevel="1">
      <c r="B21" s="82" t="s">
        <v>173</v>
      </c>
      <c r="C21" s="508">
        <v>100</v>
      </c>
      <c r="D21" s="509">
        <v>1</v>
      </c>
      <c r="E21" s="506">
        <v>0.18</v>
      </c>
      <c r="F21" s="507">
        <v>0.16</v>
      </c>
    </row>
    <row r="22" spans="2:6" outlineLevel="1">
      <c r="B22" s="82" t="s">
        <v>174</v>
      </c>
      <c r="C22" s="508">
        <v>100</v>
      </c>
      <c r="D22" s="509">
        <v>1</v>
      </c>
      <c r="E22" s="506">
        <v>0.03</v>
      </c>
      <c r="F22" s="507">
        <v>0.16</v>
      </c>
    </row>
    <row r="23" spans="2:6" outlineLevel="1">
      <c r="B23" s="82" t="s">
        <v>175</v>
      </c>
      <c r="C23" s="508">
        <v>100</v>
      </c>
      <c r="D23" s="509">
        <v>1</v>
      </c>
      <c r="E23" s="506">
        <v>0.18</v>
      </c>
      <c r="F23" s="507">
        <v>0.16</v>
      </c>
    </row>
    <row r="24" spans="2:6" outlineLevel="1">
      <c r="B24" s="82" t="s">
        <v>176</v>
      </c>
      <c r="C24" s="508">
        <v>100</v>
      </c>
      <c r="D24" s="509">
        <v>1</v>
      </c>
      <c r="E24" s="506">
        <v>0.18</v>
      </c>
      <c r="F24" s="507">
        <v>0.16</v>
      </c>
    </row>
    <row r="25" spans="2:6" outlineLevel="1">
      <c r="B25" s="82" t="s">
        <v>177</v>
      </c>
      <c r="C25" s="508">
        <v>460000</v>
      </c>
      <c r="D25" s="509">
        <v>3</v>
      </c>
      <c r="E25" s="506">
        <v>0.18</v>
      </c>
      <c r="F25" s="507">
        <v>0.16</v>
      </c>
    </row>
    <row r="26" spans="2:6" outlineLevel="1">
      <c r="B26" s="82" t="s">
        <v>178</v>
      </c>
      <c r="C26" s="508">
        <v>0</v>
      </c>
      <c r="D26" s="509">
        <v>1</v>
      </c>
      <c r="E26" s="506">
        <v>0.18</v>
      </c>
      <c r="F26" s="507">
        <v>0.16</v>
      </c>
    </row>
    <row r="27" spans="2:6" outlineLevel="1">
      <c r="B27" s="82" t="s">
        <v>179</v>
      </c>
      <c r="C27" s="508">
        <v>0</v>
      </c>
      <c r="D27" s="509">
        <v>1</v>
      </c>
      <c r="E27" s="506">
        <v>0.18</v>
      </c>
      <c r="F27" s="507">
        <v>0.16</v>
      </c>
    </row>
    <row r="28" spans="2:6" outlineLevel="1">
      <c r="B28" s="82" t="s">
        <v>180</v>
      </c>
      <c r="C28" s="508">
        <v>0</v>
      </c>
      <c r="D28" s="509">
        <v>1</v>
      </c>
      <c r="E28" s="506">
        <v>0.18</v>
      </c>
      <c r="F28" s="507">
        <v>0.16</v>
      </c>
    </row>
    <row r="29" spans="2:6" outlineLevel="1">
      <c r="B29" s="82" t="s">
        <v>181</v>
      </c>
      <c r="C29" s="508">
        <v>0</v>
      </c>
      <c r="D29" s="509">
        <v>8</v>
      </c>
      <c r="E29" s="506">
        <v>0.18</v>
      </c>
      <c r="F29" s="507">
        <v>0.16</v>
      </c>
    </row>
    <row r="30" spans="2:6" outlineLevel="1">
      <c r="B30" s="82" t="s">
        <v>182</v>
      </c>
      <c r="C30" s="508">
        <v>0</v>
      </c>
      <c r="D30" s="509">
        <v>1</v>
      </c>
      <c r="E30" s="506">
        <v>0.03</v>
      </c>
      <c r="F30" s="507">
        <v>0.16</v>
      </c>
    </row>
    <row r="31" spans="2:6" outlineLevel="1">
      <c r="B31" s="81" t="s">
        <v>146</v>
      </c>
      <c r="C31" s="49"/>
      <c r="D31" s="207"/>
      <c r="E31" s="28"/>
      <c r="F31" s="267"/>
    </row>
    <row r="32" spans="2:6" outlineLevel="1">
      <c r="B32" s="82" t="s">
        <v>183</v>
      </c>
      <c r="C32" s="189">
        <v>160000</v>
      </c>
      <c r="D32" s="197">
        <v>1</v>
      </c>
      <c r="E32" s="30">
        <v>0.03</v>
      </c>
      <c r="F32" s="173">
        <v>0.16</v>
      </c>
    </row>
    <row r="33" spans="2:9" outlineLevel="1">
      <c r="B33" s="82" t="s">
        <v>184</v>
      </c>
      <c r="C33" s="189">
        <v>120000</v>
      </c>
      <c r="D33" s="197">
        <v>1</v>
      </c>
      <c r="E33" s="30">
        <v>0.16</v>
      </c>
      <c r="F33" s="173">
        <v>0.16</v>
      </c>
      <c r="H33" s="32"/>
    </row>
    <row r="34" spans="2:9" outlineLevel="1">
      <c r="B34" s="82" t="s">
        <v>185</v>
      </c>
      <c r="C34" s="189">
        <v>100</v>
      </c>
      <c r="D34" s="197">
        <v>3</v>
      </c>
      <c r="E34" s="30">
        <v>0.14000000000000001</v>
      </c>
      <c r="F34" s="173">
        <v>0.16</v>
      </c>
      <c r="H34" s="32"/>
    </row>
    <row r="35" spans="2:9" outlineLevel="1">
      <c r="B35" s="82" t="s">
        <v>186</v>
      </c>
      <c r="C35" s="189">
        <v>100</v>
      </c>
      <c r="D35" s="197">
        <v>4</v>
      </c>
      <c r="E35" s="30">
        <v>0.14000000000000001</v>
      </c>
      <c r="F35" s="173">
        <v>0.16</v>
      </c>
      <c r="H35" s="32"/>
    </row>
    <row r="36" spans="2:9" outlineLevel="1">
      <c r="B36" s="82" t="s">
        <v>187</v>
      </c>
      <c r="C36" s="189">
        <v>0</v>
      </c>
      <c r="D36" s="197">
        <v>1</v>
      </c>
      <c r="E36" s="30">
        <v>0.14000000000000001</v>
      </c>
      <c r="F36" s="173">
        <v>0.16</v>
      </c>
    </row>
    <row r="37" spans="2:9" outlineLevel="1">
      <c r="B37" s="82" t="s">
        <v>188</v>
      </c>
      <c r="C37" s="189">
        <v>0</v>
      </c>
      <c r="D37" s="197">
        <v>1</v>
      </c>
      <c r="E37" s="30">
        <v>0.14000000000000001</v>
      </c>
      <c r="F37" s="173">
        <v>0.16</v>
      </c>
    </row>
    <row r="38" spans="2:9" outlineLevel="1">
      <c r="B38" s="82" t="s">
        <v>189</v>
      </c>
      <c r="C38" s="189">
        <v>0</v>
      </c>
      <c r="D38" s="197">
        <v>1</v>
      </c>
      <c r="E38" s="30">
        <v>0.14000000000000001</v>
      </c>
      <c r="F38" s="173">
        <v>0.16</v>
      </c>
    </row>
    <row r="39" spans="2:9" outlineLevel="1">
      <c r="B39" s="82" t="s">
        <v>190</v>
      </c>
      <c r="C39" s="189">
        <v>0</v>
      </c>
      <c r="D39" s="197">
        <v>1</v>
      </c>
      <c r="E39" s="30">
        <v>0.14000000000000001</v>
      </c>
      <c r="F39" s="173">
        <v>0.16</v>
      </c>
    </row>
    <row r="40" spans="2:9" outlineLevel="1">
      <c r="B40" s="82" t="s">
        <v>191</v>
      </c>
      <c r="C40" s="189">
        <v>0</v>
      </c>
      <c r="D40" s="197">
        <v>1</v>
      </c>
      <c r="E40" s="30">
        <v>0.14000000000000001</v>
      </c>
      <c r="F40" s="173">
        <v>0.16</v>
      </c>
    </row>
    <row r="41" spans="2:9" ht="12" outlineLevel="1" thickBot="1">
      <c r="B41" s="86" t="s">
        <v>192</v>
      </c>
      <c r="C41" s="268">
        <v>0</v>
      </c>
      <c r="D41" s="269">
        <v>8</v>
      </c>
      <c r="E41" s="270">
        <v>0.15</v>
      </c>
      <c r="F41" s="271">
        <v>0.16</v>
      </c>
    </row>
    <row r="42" spans="2:9">
      <c r="D42" s="51"/>
      <c r="E42" s="51"/>
    </row>
    <row r="43" spans="2:9">
      <c r="B43" s="3" t="s">
        <v>217</v>
      </c>
      <c r="D43" s="51"/>
      <c r="E43" s="51"/>
    </row>
    <row r="44" spans="2:9" outlineLevel="1">
      <c r="B44" s="11" t="s">
        <v>89</v>
      </c>
      <c r="C44" s="217">
        <v>0.5</v>
      </c>
      <c r="D44" s="91"/>
      <c r="E44" s="91"/>
      <c r="F44" s="91"/>
      <c r="G44" s="91"/>
      <c r="H44" s="91"/>
      <c r="I44" s="91"/>
    </row>
    <row r="45" spans="2:9" outlineLevel="1">
      <c r="B45" s="11" t="s">
        <v>88</v>
      </c>
      <c r="C45" s="217">
        <v>6.25E-2</v>
      </c>
      <c r="E45" s="91"/>
      <c r="H45" s="91"/>
      <c r="I45" s="91"/>
    </row>
    <row r="46" spans="2:9" outlineLevel="1">
      <c r="B46" s="11" t="s">
        <v>162</v>
      </c>
      <c r="C46" s="164">
        <v>0.03</v>
      </c>
      <c r="E46" s="91"/>
      <c r="H46" s="91"/>
      <c r="I46" s="91"/>
    </row>
    <row r="47" spans="2:9" outlineLevel="1">
      <c r="B47" s="11" t="s">
        <v>30</v>
      </c>
      <c r="C47" s="30">
        <v>0.1</v>
      </c>
      <c r="E47" s="143"/>
      <c r="H47" s="143"/>
      <c r="I47" s="143"/>
    </row>
    <row r="48" spans="2:9" outlineLevel="1">
      <c r="B48" s="142"/>
      <c r="C48" s="142"/>
      <c r="D48" s="142"/>
      <c r="E48" s="142"/>
      <c r="F48" s="142"/>
      <c r="G48" s="142"/>
      <c r="H48" s="142"/>
      <c r="I48" s="142"/>
    </row>
    <row r="49" spans="2:12" outlineLevel="1">
      <c r="B49" s="281"/>
      <c r="C49" s="282">
        <v>1</v>
      </c>
      <c r="D49" s="282">
        <f t="shared" ref="D49:I49" si="0">C49+1</f>
        <v>2</v>
      </c>
      <c r="E49" s="282">
        <f t="shared" si="0"/>
        <v>3</v>
      </c>
      <c r="F49" s="282">
        <f t="shared" si="0"/>
        <v>4</v>
      </c>
      <c r="G49" s="282">
        <f t="shared" si="0"/>
        <v>5</v>
      </c>
      <c r="H49" s="282">
        <f t="shared" si="0"/>
        <v>6</v>
      </c>
      <c r="I49" s="283">
        <f t="shared" si="0"/>
        <v>7</v>
      </c>
    </row>
    <row r="50" spans="2:12" outlineLevel="1">
      <c r="B50" s="284" t="s">
        <v>17</v>
      </c>
      <c r="C50" s="189">
        <v>3000</v>
      </c>
      <c r="D50" s="256"/>
      <c r="E50" s="256"/>
      <c r="F50" s="256"/>
      <c r="G50" s="256"/>
      <c r="H50" s="256"/>
      <c r="I50" s="285"/>
    </row>
    <row r="51" spans="2:12" outlineLevel="1">
      <c r="B51" s="286" t="s">
        <v>241</v>
      </c>
      <c r="C51" s="280">
        <v>20000</v>
      </c>
      <c r="D51" s="280"/>
      <c r="E51" s="280"/>
      <c r="F51" s="280">
        <v>40000</v>
      </c>
      <c r="G51" s="280"/>
      <c r="H51" s="280"/>
      <c r="I51" s="287"/>
    </row>
    <row r="52" spans="2:12">
      <c r="B52" s="257"/>
      <c r="C52" s="257"/>
      <c r="D52" s="257"/>
      <c r="E52" s="257"/>
      <c r="F52" s="257"/>
      <c r="G52" s="257"/>
      <c r="H52" s="257"/>
      <c r="I52" s="257"/>
      <c r="J52" s="257"/>
    </row>
    <row r="53" spans="2:12">
      <c r="B53" s="3" t="s">
        <v>132</v>
      </c>
    </row>
    <row r="54" spans="2:12" ht="12" outlineLevel="1" thickBot="1">
      <c r="C54" s="164" t="s">
        <v>122</v>
      </c>
      <c r="D54" s="164" t="s">
        <v>123</v>
      </c>
      <c r="E54" s="164" t="s">
        <v>124</v>
      </c>
      <c r="F54" s="164" t="s">
        <v>125</v>
      </c>
      <c r="G54" s="164" t="s">
        <v>126</v>
      </c>
      <c r="H54" s="164" t="s">
        <v>127</v>
      </c>
    </row>
    <row r="55" spans="2:12" outlineLevel="1">
      <c r="B55" s="263" t="s">
        <v>143</v>
      </c>
      <c r="C55" s="521">
        <v>1</v>
      </c>
      <c r="D55" s="514">
        <v>1</v>
      </c>
      <c r="E55" s="514">
        <v>2</v>
      </c>
      <c r="F55" s="520">
        <v>3</v>
      </c>
      <c r="G55" s="529">
        <v>4</v>
      </c>
      <c r="H55" s="530">
        <v>1</v>
      </c>
    </row>
    <row r="56" spans="2:12" outlineLevel="1">
      <c r="B56" s="261" t="s">
        <v>81</v>
      </c>
      <c r="C56" s="513">
        <v>100</v>
      </c>
      <c r="D56" s="517">
        <v>110</v>
      </c>
      <c r="E56" s="517">
        <v>65</v>
      </c>
      <c r="F56" s="515">
        <v>90</v>
      </c>
      <c r="G56" s="515">
        <v>120000</v>
      </c>
      <c r="H56" s="505">
        <v>0.1</v>
      </c>
    </row>
    <row r="57" spans="2:12" outlineLevel="1">
      <c r="B57" s="261" t="s">
        <v>113</v>
      </c>
      <c r="C57" s="511">
        <v>3500</v>
      </c>
      <c r="D57" s="518">
        <v>1000</v>
      </c>
      <c r="E57" s="518">
        <v>900</v>
      </c>
      <c r="F57" s="516">
        <v>700</v>
      </c>
      <c r="G57" s="516">
        <v>1</v>
      </c>
      <c r="H57" s="505"/>
    </row>
    <row r="58" spans="2:12" outlineLevel="1">
      <c r="B58" s="261" t="s">
        <v>82</v>
      </c>
      <c r="C58" s="510">
        <v>0.1</v>
      </c>
      <c r="D58" s="519">
        <v>0.1</v>
      </c>
      <c r="E58" s="519">
        <v>0.1</v>
      </c>
      <c r="F58" s="512">
        <v>0.1</v>
      </c>
      <c r="G58" s="512">
        <v>0.1</v>
      </c>
      <c r="H58" s="524">
        <v>0.1</v>
      </c>
    </row>
    <row r="59" spans="2:12" outlineLevel="1">
      <c r="B59" s="261" t="s">
        <v>83</v>
      </c>
      <c r="C59" s="510">
        <v>0.1</v>
      </c>
      <c r="D59" s="519">
        <v>0.1</v>
      </c>
      <c r="E59" s="519">
        <v>0.1</v>
      </c>
      <c r="F59" s="512">
        <v>0.1</v>
      </c>
      <c r="G59" s="512">
        <v>0.1</v>
      </c>
      <c r="H59" s="524">
        <v>0.1</v>
      </c>
    </row>
    <row r="60" spans="2:12" outlineLevel="1">
      <c r="B60" s="261" t="s">
        <v>84</v>
      </c>
      <c r="C60" s="510">
        <v>0.1</v>
      </c>
      <c r="D60" s="519">
        <v>0.05</v>
      </c>
      <c r="E60" s="519">
        <v>0.1</v>
      </c>
      <c r="F60" s="512">
        <v>0.1</v>
      </c>
      <c r="G60" s="512">
        <v>0.1</v>
      </c>
      <c r="H60" s="524">
        <v>0.1</v>
      </c>
      <c r="J60" s="14"/>
    </row>
    <row r="61" spans="2:12" outlineLevel="1">
      <c r="B61" s="261" t="s">
        <v>85</v>
      </c>
      <c r="C61" s="510">
        <v>0.05</v>
      </c>
      <c r="D61" s="519">
        <v>0.05</v>
      </c>
      <c r="E61" s="519">
        <v>0.03</v>
      </c>
      <c r="F61" s="512">
        <v>0.02</v>
      </c>
      <c r="G61" s="512">
        <v>0.02</v>
      </c>
      <c r="H61" s="524">
        <v>0.05</v>
      </c>
    </row>
    <row r="62" spans="2:12" outlineLevel="1">
      <c r="B62" s="261" t="s">
        <v>86</v>
      </c>
      <c r="C62" s="510">
        <v>0.05</v>
      </c>
      <c r="D62" s="519">
        <v>0.05</v>
      </c>
      <c r="E62" s="519">
        <v>0.03</v>
      </c>
      <c r="F62" s="512">
        <v>0.02</v>
      </c>
      <c r="G62" s="512">
        <v>0.02</v>
      </c>
      <c r="H62" s="524">
        <v>0.05</v>
      </c>
      <c r="J62" s="14"/>
      <c r="K62" s="237"/>
      <c r="L62" s="237"/>
    </row>
    <row r="63" spans="2:12" outlineLevel="1">
      <c r="B63" s="261" t="s">
        <v>87</v>
      </c>
      <c r="C63" s="510">
        <v>0.04</v>
      </c>
      <c r="D63" s="519">
        <v>0.04</v>
      </c>
      <c r="E63" s="519">
        <v>0.03</v>
      </c>
      <c r="F63" s="512">
        <v>0.02</v>
      </c>
      <c r="G63" s="528">
        <v>0.02</v>
      </c>
      <c r="H63" s="524">
        <v>0.04</v>
      </c>
    </row>
    <row r="64" spans="2:12" outlineLevel="1">
      <c r="B64" s="260" t="s">
        <v>211</v>
      </c>
      <c r="C64" s="522">
        <v>0.12</v>
      </c>
      <c r="D64" s="527">
        <v>0.11</v>
      </c>
      <c r="E64" s="522">
        <v>0.21</v>
      </c>
      <c r="F64" s="527">
        <v>0.31</v>
      </c>
      <c r="G64" s="527">
        <v>0.23</v>
      </c>
      <c r="H64" s="523">
        <v>0.12</v>
      </c>
      <c r="J64" s="14"/>
    </row>
    <row r="65" spans="2:9" outlineLevel="1">
      <c r="B65" s="261" t="s">
        <v>212</v>
      </c>
      <c r="C65" s="510">
        <v>0.1</v>
      </c>
      <c r="D65" s="512">
        <v>0.12</v>
      </c>
      <c r="E65" s="510">
        <v>0.12</v>
      </c>
      <c r="F65" s="512">
        <v>0.1</v>
      </c>
      <c r="G65" s="512">
        <v>0.12</v>
      </c>
      <c r="H65" s="524">
        <v>0.15</v>
      </c>
    </row>
    <row r="66" spans="2:9" s="14" customFormat="1" outlineLevel="1">
      <c r="B66" s="262" t="s">
        <v>213</v>
      </c>
      <c r="C66" s="525">
        <v>0.08</v>
      </c>
      <c r="D66" s="528">
        <v>0.09</v>
      </c>
      <c r="E66" s="525">
        <v>0.11</v>
      </c>
      <c r="F66" s="528">
        <v>0.1</v>
      </c>
      <c r="G66" s="528">
        <v>0.12</v>
      </c>
      <c r="H66" s="526">
        <v>0.05</v>
      </c>
    </row>
    <row r="67" spans="2:9" s="14" customFormat="1" outlineLevel="1">
      <c r="B67" s="281"/>
      <c r="C67" s="282">
        <v>1</v>
      </c>
      <c r="D67" s="282">
        <f t="shared" ref="D67:I67" si="1">C67+1</f>
        <v>2</v>
      </c>
      <c r="E67" s="282">
        <f t="shared" si="1"/>
        <v>3</v>
      </c>
      <c r="F67" s="282">
        <f t="shared" si="1"/>
        <v>4</v>
      </c>
      <c r="G67" s="282">
        <f t="shared" si="1"/>
        <v>5</v>
      </c>
      <c r="H67" s="282">
        <f t="shared" si="1"/>
        <v>6</v>
      </c>
      <c r="I67" s="283">
        <f t="shared" si="1"/>
        <v>7</v>
      </c>
    </row>
    <row r="68" spans="2:9" s="14" customFormat="1" outlineLevel="1">
      <c r="B68" s="286" t="s">
        <v>242</v>
      </c>
      <c r="C68" s="280">
        <v>20000</v>
      </c>
      <c r="D68" s="280"/>
      <c r="E68" s="280"/>
      <c r="F68" s="280">
        <v>40000</v>
      </c>
      <c r="G68" s="280"/>
      <c r="H68" s="280"/>
      <c r="I68" s="287"/>
    </row>
    <row r="70" spans="2:9">
      <c r="B70" s="3" t="s">
        <v>9</v>
      </c>
    </row>
    <row r="71" spans="2:9" ht="12.75" outlineLevel="1">
      <c r="B71" s="273"/>
      <c r="C71" s="274" t="s">
        <v>214</v>
      </c>
      <c r="D71" s="274"/>
      <c r="E71" s="275"/>
      <c r="F71" s="274" t="s">
        <v>215</v>
      </c>
      <c r="G71" s="275"/>
      <c r="H71" s="275"/>
      <c r="I71" s="276"/>
    </row>
    <row r="72" spans="2:9" ht="12.75" outlineLevel="1">
      <c r="B72" s="277"/>
      <c r="C72" s="278">
        <v>1</v>
      </c>
      <c r="D72" s="278">
        <f t="shared" ref="D72:I72" si="2">C72+1</f>
        <v>2</v>
      </c>
      <c r="E72" s="278">
        <f t="shared" si="2"/>
        <v>3</v>
      </c>
      <c r="F72" s="278">
        <f t="shared" si="2"/>
        <v>4</v>
      </c>
      <c r="G72" s="278">
        <f t="shared" si="2"/>
        <v>5</v>
      </c>
      <c r="H72" s="278">
        <f t="shared" si="2"/>
        <v>6</v>
      </c>
      <c r="I72" s="279">
        <f t="shared" si="2"/>
        <v>7</v>
      </c>
    </row>
    <row r="73" spans="2:9" outlineLevel="1">
      <c r="B73" s="261" t="s">
        <v>10</v>
      </c>
      <c r="C73" s="531">
        <v>140000</v>
      </c>
      <c r="D73" s="531">
        <v>10000</v>
      </c>
      <c r="E73" s="531"/>
      <c r="F73" s="531"/>
      <c r="G73" s="531">
        <v>0</v>
      </c>
      <c r="H73" s="531">
        <v>0</v>
      </c>
      <c r="I73" s="532">
        <v>0</v>
      </c>
    </row>
    <row r="74" spans="2:9" outlineLevel="1">
      <c r="B74" s="261" t="s">
        <v>109</v>
      </c>
      <c r="C74" s="531">
        <v>9000</v>
      </c>
      <c r="D74" s="531">
        <v>0</v>
      </c>
      <c r="E74" s="531">
        <v>0</v>
      </c>
      <c r="F74" s="531">
        <v>0</v>
      </c>
      <c r="G74" s="531">
        <v>0</v>
      </c>
      <c r="H74" s="531">
        <v>0</v>
      </c>
      <c r="I74" s="532">
        <v>0</v>
      </c>
    </row>
    <row r="75" spans="2:9" outlineLevel="1">
      <c r="B75" s="261" t="s">
        <v>107</v>
      </c>
      <c r="C75" s="531">
        <v>30000</v>
      </c>
      <c r="D75" s="531">
        <v>0</v>
      </c>
      <c r="E75" s="531">
        <v>0</v>
      </c>
      <c r="F75" s="531">
        <v>0</v>
      </c>
      <c r="G75" s="531">
        <v>40000</v>
      </c>
      <c r="H75" s="531">
        <v>0</v>
      </c>
      <c r="I75" s="532">
        <v>0</v>
      </c>
    </row>
    <row r="76" spans="2:9" outlineLevel="1">
      <c r="B76" s="261" t="s">
        <v>106</v>
      </c>
      <c r="C76" s="531">
        <v>18000</v>
      </c>
      <c r="D76" s="531">
        <v>0</v>
      </c>
      <c r="E76" s="531">
        <v>0</v>
      </c>
      <c r="F76" s="531">
        <v>0</v>
      </c>
      <c r="G76" s="531">
        <v>0</v>
      </c>
      <c r="H76" s="531">
        <v>0</v>
      </c>
      <c r="I76" s="532">
        <v>0</v>
      </c>
    </row>
    <row r="77" spans="2:9" outlineLevel="1">
      <c r="B77" s="261" t="s">
        <v>108</v>
      </c>
      <c r="C77" s="531">
        <v>24000</v>
      </c>
      <c r="D77" s="531">
        <v>0</v>
      </c>
      <c r="E77" s="531">
        <v>0</v>
      </c>
      <c r="F77" s="531">
        <v>20000</v>
      </c>
      <c r="G77" s="531">
        <v>0</v>
      </c>
      <c r="H77" s="531">
        <v>0</v>
      </c>
      <c r="I77" s="532">
        <v>0</v>
      </c>
    </row>
    <row r="78" spans="2:9" outlineLevel="1">
      <c r="B78" s="261" t="s">
        <v>11</v>
      </c>
      <c r="C78" s="531">
        <v>25000</v>
      </c>
      <c r="D78" s="531">
        <v>0</v>
      </c>
      <c r="E78" s="531">
        <v>0</v>
      </c>
      <c r="F78" s="531">
        <v>0</v>
      </c>
      <c r="G78" s="531">
        <v>0</v>
      </c>
      <c r="H78" s="531">
        <v>0</v>
      </c>
      <c r="I78" s="532">
        <v>0</v>
      </c>
    </row>
    <row r="79" spans="2:9" ht="12.75" outlineLevel="1">
      <c r="B79" s="262" t="s">
        <v>6</v>
      </c>
      <c r="C79" s="533">
        <v>15000</v>
      </c>
      <c r="D79" s="534"/>
      <c r="E79" s="534"/>
      <c r="F79" s="534"/>
      <c r="G79" s="534"/>
      <c r="H79" s="534"/>
      <c r="I79" s="535"/>
    </row>
    <row r="80" spans="2:9" outlineLevel="1">
      <c r="B80" s="353" t="s">
        <v>227</v>
      </c>
      <c r="C80" s="361">
        <v>0.03</v>
      </c>
      <c r="D80" s="361">
        <v>0.03</v>
      </c>
      <c r="E80" s="361">
        <v>0.03</v>
      </c>
      <c r="F80" s="361">
        <v>0.03</v>
      </c>
      <c r="G80" s="361">
        <v>0.03</v>
      </c>
      <c r="H80" s="361">
        <v>0.03</v>
      </c>
      <c r="I80" s="362">
        <v>0.03</v>
      </c>
    </row>
    <row r="82" spans="2:5">
      <c r="B82" s="3" t="s">
        <v>131</v>
      </c>
      <c r="C82" s="3"/>
      <c r="D82" s="3"/>
      <c r="E82" s="51"/>
    </row>
    <row r="83" spans="2:5" outlineLevel="1">
      <c r="B83" s="290" t="s">
        <v>62</v>
      </c>
      <c r="C83" s="288">
        <v>1</v>
      </c>
      <c r="E83" s="11"/>
    </row>
    <row r="84" spans="2:5" outlineLevel="1">
      <c r="B84" s="291" t="s">
        <v>63</v>
      </c>
      <c r="C84" s="289">
        <v>1</v>
      </c>
      <c r="E84" s="11"/>
    </row>
    <row r="85" spans="2:5" outlineLevel="1">
      <c r="B85" s="291" t="s">
        <v>64</v>
      </c>
      <c r="C85" s="289">
        <v>1</v>
      </c>
      <c r="E85" s="51"/>
    </row>
    <row r="86" spans="2:5" outlineLevel="1">
      <c r="B86" s="291" t="s">
        <v>130</v>
      </c>
      <c r="C86" s="289">
        <v>1</v>
      </c>
    </row>
    <row r="87" spans="2:5" outlineLevel="1">
      <c r="B87" s="291" t="s">
        <v>57</v>
      </c>
      <c r="C87" s="289">
        <v>1</v>
      </c>
    </row>
    <row r="88" spans="2:5" outlineLevel="1">
      <c r="B88" s="292" t="s">
        <v>129</v>
      </c>
      <c r="C88" s="324">
        <v>1</v>
      </c>
    </row>
    <row r="90" spans="2:5">
      <c r="B90" s="3" t="s">
        <v>225</v>
      </c>
    </row>
    <row r="91" spans="2:5" ht="12" outlineLevel="1" thickBot="1">
      <c r="C91" s="3" t="s">
        <v>66</v>
      </c>
      <c r="D91" s="3" t="s">
        <v>67</v>
      </c>
    </row>
    <row r="92" spans="2:5" outlineLevel="1">
      <c r="B92" s="65" t="s">
        <v>49</v>
      </c>
      <c r="C92" s="340">
        <v>1.05</v>
      </c>
      <c r="D92" s="341">
        <v>0.95</v>
      </c>
    </row>
    <row r="93" spans="2:5" outlineLevel="1">
      <c r="B93" s="53" t="s">
        <v>68</v>
      </c>
      <c r="C93" s="71">
        <v>0.9</v>
      </c>
      <c r="D93" s="73">
        <v>1.05</v>
      </c>
    </row>
    <row r="94" spans="2:5" outlineLevel="1">
      <c r="B94" s="53" t="s">
        <v>95</v>
      </c>
      <c r="C94" s="71">
        <v>0.95</v>
      </c>
      <c r="D94" s="73">
        <v>1.05</v>
      </c>
    </row>
    <row r="95" spans="2:5" outlineLevel="1">
      <c r="B95" s="53" t="s">
        <v>51</v>
      </c>
      <c r="C95" s="71">
        <v>1.05</v>
      </c>
      <c r="D95" s="73">
        <v>0.95</v>
      </c>
    </row>
    <row r="96" spans="2:5" outlineLevel="1">
      <c r="B96" s="53" t="s">
        <v>55</v>
      </c>
      <c r="C96" s="71">
        <v>0.9</v>
      </c>
      <c r="D96" s="73">
        <v>1.05</v>
      </c>
    </row>
    <row r="97" spans="2:4" ht="12" outlineLevel="1" thickBot="1">
      <c r="B97" s="57" t="s">
        <v>196</v>
      </c>
      <c r="C97" s="363">
        <v>0.8</v>
      </c>
      <c r="D97" s="75">
        <v>1.1000000000000001</v>
      </c>
    </row>
    <row r="98" spans="2:4" outlineLevel="1">
      <c r="B98" s="292" t="s">
        <v>226</v>
      </c>
      <c r="C98" s="324" t="s">
        <v>259</v>
      </c>
    </row>
    <row r="99" spans="2:4" outlineLevel="1"/>
    <row r="100" spans="2:4" outlineLevel="1">
      <c r="B100" s="358" t="s">
        <v>240</v>
      </c>
      <c r="C100" s="354">
        <v>2</v>
      </c>
    </row>
  </sheetData>
  <customSheetViews>
    <customSheetView guid="{D4D7EB24-CC17-11D2-866F-0020AFB54048}" showRuler="0">
      <selection activeCell="B4" sqref="B4:F14"/>
      <pageMargins left="0.44" right="0.37" top="1.1100000000000001" bottom="1" header="0.511811024" footer="0.511811024"/>
      <printOptions headings="1"/>
      <pageSetup paperSize="9" orientation="landscape" horizontalDpi="300" verticalDpi="300" r:id="rId1"/>
      <headerFooter alignWithMargins="0">
        <oddHeader>&amp;A</oddHeader>
        <oddFooter>&amp;LMODELEVA&amp;CDEPTO. ECONOMIA FINANCIERA&amp;RUNIVERSIDAD DE SANTIAGO</oddFooter>
      </headerFooter>
    </customSheetView>
    <customSheetView guid="{D4D7EB23-CC17-11D2-866F-0020AFB54048}" showRuler="0">
      <selection activeCell="D8" sqref="D8"/>
      <pageMargins left="0.44" right="0.37" top="1.1100000000000001" bottom="1" header="0.511811024" footer="0.511811024"/>
      <printOptions headings="1"/>
      <pageSetup paperSize="9" orientation="landscape" horizontalDpi="300" verticalDpi="300" r:id="rId2"/>
      <headerFooter alignWithMargins="0">
        <oddHeader>&amp;A</oddHeader>
        <oddFooter>&amp;LMODELEVA&amp;CDEPTO. ECONOMIA FINANCIERA&amp;RUNIVERSIDAD DE SANTIAGO</oddFooter>
      </headerFooter>
    </customSheetView>
  </customSheetViews>
  <mergeCells count="1">
    <mergeCell ref="H56:H57"/>
  </mergeCells>
  <phoneticPr fontId="4" type="noConversion"/>
  <dataValidations xWindow="784" yWindow="269" count="14">
    <dataValidation type="decimal" operator="greaterThanOrEqual" allowBlank="1" showInputMessage="1" showErrorMessage="1" prompt="Introducir un porcentaje." sqref="D92:D97">
      <formula1>0</formula1>
    </dataValidation>
    <dataValidation type="decimal" operator="greaterThan" allowBlank="1" showInputMessage="1" showErrorMessage="1" prompt="Introducir un porcentaje." sqref="C92:C97">
      <formula1>0</formula1>
    </dataValidation>
    <dataValidation type="list" allowBlank="1" showInputMessage="1" showErrorMessage="1" prompt="Elegir el número de meses de la lista desplegable" sqref="C83:C88">
      <formula1>"0,1,2,3"</formula1>
    </dataValidation>
    <dataValidation type="decimal" allowBlank="1" showInputMessage="1" showErrorMessage="1" prompt="Porcentaje sobre los ingresos de las otras líneas de negocio" sqref="H56:H57">
      <formula1>0</formula1>
      <formula2>1</formula2>
    </dataValidation>
    <dataValidation type="list" allowBlank="1" showInputMessage="1" showErrorMessage="1" sqref="C55:H55">
      <formula1>"1,2,3,4,5,6,7"</formula1>
    </dataValidation>
    <dataValidation type="whole" operator="greaterThanOrEqual" allowBlank="1" showInputMessage="1" showErrorMessage="1" sqref="C50">
      <formula1>3000</formula1>
    </dataValidation>
    <dataValidation type="decimal" operator="greaterThanOrEqual" allowBlank="1" showInputMessage="1" showErrorMessage="1" prompt="Introducir un porcentaje" sqref="C7">
      <formula1>0</formula1>
    </dataValidation>
    <dataValidation type="decimal" allowBlank="1" showInputMessage="1" showErrorMessage="1" prompt="Introducir un porcentaje" sqref="C47 C44:C45">
      <formula1>0</formula1>
      <formula2>1</formula2>
    </dataValidation>
    <dataValidation type="decimal" allowBlank="1" showInputMessage="1" showErrorMessage="1" prompt="Introducir un porcentaje " sqref="C46">
      <formula1>0</formula1>
      <formula2>1</formula2>
    </dataValidation>
    <dataValidation type="whole" allowBlank="1" showInputMessage="1" showErrorMessage="1" sqref="D11:D41">
      <formula1>1</formula1>
      <formula2>8</formula2>
    </dataValidation>
    <dataValidation type="decimal" allowBlank="1" showInputMessage="1" showErrorMessage="1" prompt="Introducir un porcentaje" sqref="F11:F30 F32:F41">
      <formula1>0</formula1>
      <formula2>0.2</formula2>
    </dataValidation>
    <dataValidation type="decimal" allowBlank="1" showInputMessage="1" showErrorMessage="1" prompt="Introducir un porcentaje entre 0% y 100%" sqref="E11:E30 E32:E41">
      <formula1>0</formula1>
      <formula2>1</formula2>
    </dataValidation>
    <dataValidation type="decimal" allowBlank="1" showInputMessage="1" showErrorMessage="1" prompt="Introducir un porcentaje (entre 5 y 30%)" sqref="C6">
      <formula1>0.05</formula1>
      <formula2>0.3</formula2>
    </dataValidation>
    <dataValidation type="decimal" allowBlank="1" showInputMessage="1" showErrorMessage="1" prompt="Introducir un porcentaje (entre 0 y 6%)" sqref="C4">
      <formula1>0</formula1>
      <formula2>0.06</formula2>
    </dataValidation>
  </dataValidations>
  <printOptions headings="1"/>
  <pageMargins left="0.9055118110236221" right="0.35433070866141736" top="0.94488188976377963" bottom="0.98425196850393704" header="0.51181102362204722" footer="0.51181102362204722"/>
  <pageSetup paperSize="9" orientation="landscape" horizontalDpi="300" verticalDpi="300" r:id="rId3"/>
  <headerFooter alignWithMargins="0">
    <oddHeader>&amp;A</oddHeader>
    <oddFooter>&amp;C&amp;F&amp;R&amp;D</oddFooter>
  </headerFooter>
  <legacyDrawing r:id="rId4"/>
  <extLst>
    <ext xmlns:x14="http://schemas.microsoft.com/office/spreadsheetml/2009/9/main" uri="{CCE6A557-97BC-4b89-ADB6-D9C93CAAB3DF}">
      <x14:dataValidations xmlns:xm="http://schemas.microsoft.com/office/excel/2006/main" xWindow="784" yWindow="269" count="1">
        <x14:dataValidation type="list" allowBlank="1" showInputMessage="1" showErrorMessage="1">
          <x14:formula1>
            <xm:f>ESCENARIOS!$E$3:$G$3</xm:f>
          </x14:formula1>
          <xm:sqref>C98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4"/>
  <sheetViews>
    <sheetView workbookViewId="0">
      <selection activeCell="C5" sqref="C5"/>
    </sheetView>
  </sheetViews>
  <sheetFormatPr baseColWidth="10" defaultRowHeight="12.75"/>
  <cols>
    <col min="1" max="1" width="11.42578125" style="411"/>
    <col min="2" max="2" width="24.28515625" style="411" customWidth="1"/>
    <col min="3" max="9" width="11.42578125" style="411"/>
    <col min="10" max="10" width="13.42578125" style="411" bestFit="1" customWidth="1"/>
    <col min="11" max="257" width="11.42578125" style="411"/>
    <col min="258" max="258" width="24.28515625" style="411" customWidth="1"/>
    <col min="259" max="265" width="11.42578125" style="411"/>
    <col min="266" max="266" width="13.42578125" style="411" bestFit="1" customWidth="1"/>
    <col min="267" max="513" width="11.42578125" style="411"/>
    <col min="514" max="514" width="24.28515625" style="411" customWidth="1"/>
    <col min="515" max="521" width="11.42578125" style="411"/>
    <col min="522" max="522" width="13.42578125" style="411" bestFit="1" customWidth="1"/>
    <col min="523" max="769" width="11.42578125" style="411"/>
    <col min="770" max="770" width="24.28515625" style="411" customWidth="1"/>
    <col min="771" max="777" width="11.42578125" style="411"/>
    <col min="778" max="778" width="13.42578125" style="411" bestFit="1" customWidth="1"/>
    <col min="779" max="1025" width="11.42578125" style="411"/>
    <col min="1026" max="1026" width="24.28515625" style="411" customWidth="1"/>
    <col min="1027" max="1033" width="11.42578125" style="411"/>
    <col min="1034" max="1034" width="13.42578125" style="411" bestFit="1" customWidth="1"/>
    <col min="1035" max="1281" width="11.42578125" style="411"/>
    <col min="1282" max="1282" width="24.28515625" style="411" customWidth="1"/>
    <col min="1283" max="1289" width="11.42578125" style="411"/>
    <col min="1290" max="1290" width="13.42578125" style="411" bestFit="1" customWidth="1"/>
    <col min="1291" max="1537" width="11.42578125" style="411"/>
    <col min="1538" max="1538" width="24.28515625" style="411" customWidth="1"/>
    <col min="1539" max="1545" width="11.42578125" style="411"/>
    <col min="1546" max="1546" width="13.42578125" style="411" bestFit="1" customWidth="1"/>
    <col min="1547" max="1793" width="11.42578125" style="411"/>
    <col min="1794" max="1794" width="24.28515625" style="411" customWidth="1"/>
    <col min="1795" max="1801" width="11.42578125" style="411"/>
    <col min="1802" max="1802" width="13.42578125" style="411" bestFit="1" customWidth="1"/>
    <col min="1803" max="2049" width="11.42578125" style="411"/>
    <col min="2050" max="2050" width="24.28515625" style="411" customWidth="1"/>
    <col min="2051" max="2057" width="11.42578125" style="411"/>
    <col min="2058" max="2058" width="13.42578125" style="411" bestFit="1" customWidth="1"/>
    <col min="2059" max="2305" width="11.42578125" style="411"/>
    <col min="2306" max="2306" width="24.28515625" style="411" customWidth="1"/>
    <col min="2307" max="2313" width="11.42578125" style="411"/>
    <col min="2314" max="2314" width="13.42578125" style="411" bestFit="1" customWidth="1"/>
    <col min="2315" max="2561" width="11.42578125" style="411"/>
    <col min="2562" max="2562" width="24.28515625" style="411" customWidth="1"/>
    <col min="2563" max="2569" width="11.42578125" style="411"/>
    <col min="2570" max="2570" width="13.42578125" style="411" bestFit="1" customWidth="1"/>
    <col min="2571" max="2817" width="11.42578125" style="411"/>
    <col min="2818" max="2818" width="24.28515625" style="411" customWidth="1"/>
    <col min="2819" max="2825" width="11.42578125" style="411"/>
    <col min="2826" max="2826" width="13.42578125" style="411" bestFit="1" customWidth="1"/>
    <col min="2827" max="3073" width="11.42578125" style="411"/>
    <col min="3074" max="3074" width="24.28515625" style="411" customWidth="1"/>
    <col min="3075" max="3081" width="11.42578125" style="411"/>
    <col min="3082" max="3082" width="13.42578125" style="411" bestFit="1" customWidth="1"/>
    <col min="3083" max="3329" width="11.42578125" style="411"/>
    <col min="3330" max="3330" width="24.28515625" style="411" customWidth="1"/>
    <col min="3331" max="3337" width="11.42578125" style="411"/>
    <col min="3338" max="3338" width="13.42578125" style="411" bestFit="1" customWidth="1"/>
    <col min="3339" max="3585" width="11.42578125" style="411"/>
    <col min="3586" max="3586" width="24.28515625" style="411" customWidth="1"/>
    <col min="3587" max="3593" width="11.42578125" style="411"/>
    <col min="3594" max="3594" width="13.42578125" style="411" bestFit="1" customWidth="1"/>
    <col min="3595" max="3841" width="11.42578125" style="411"/>
    <col min="3842" max="3842" width="24.28515625" style="411" customWidth="1"/>
    <col min="3843" max="3849" width="11.42578125" style="411"/>
    <col min="3850" max="3850" width="13.42578125" style="411" bestFit="1" customWidth="1"/>
    <col min="3851" max="4097" width="11.42578125" style="411"/>
    <col min="4098" max="4098" width="24.28515625" style="411" customWidth="1"/>
    <col min="4099" max="4105" width="11.42578125" style="411"/>
    <col min="4106" max="4106" width="13.42578125" style="411" bestFit="1" customWidth="1"/>
    <col min="4107" max="4353" width="11.42578125" style="411"/>
    <col min="4354" max="4354" width="24.28515625" style="411" customWidth="1"/>
    <col min="4355" max="4361" width="11.42578125" style="411"/>
    <col min="4362" max="4362" width="13.42578125" style="411" bestFit="1" customWidth="1"/>
    <col min="4363" max="4609" width="11.42578125" style="411"/>
    <col min="4610" max="4610" width="24.28515625" style="411" customWidth="1"/>
    <col min="4611" max="4617" width="11.42578125" style="411"/>
    <col min="4618" max="4618" width="13.42578125" style="411" bestFit="1" customWidth="1"/>
    <col min="4619" max="4865" width="11.42578125" style="411"/>
    <col min="4866" max="4866" width="24.28515625" style="411" customWidth="1"/>
    <col min="4867" max="4873" width="11.42578125" style="411"/>
    <col min="4874" max="4874" width="13.42578125" style="411" bestFit="1" customWidth="1"/>
    <col min="4875" max="5121" width="11.42578125" style="411"/>
    <col min="5122" max="5122" width="24.28515625" style="411" customWidth="1"/>
    <col min="5123" max="5129" width="11.42578125" style="411"/>
    <col min="5130" max="5130" width="13.42578125" style="411" bestFit="1" customWidth="1"/>
    <col min="5131" max="5377" width="11.42578125" style="411"/>
    <col min="5378" max="5378" width="24.28515625" style="411" customWidth="1"/>
    <col min="5379" max="5385" width="11.42578125" style="411"/>
    <col min="5386" max="5386" width="13.42578125" style="411" bestFit="1" customWidth="1"/>
    <col min="5387" max="5633" width="11.42578125" style="411"/>
    <col min="5634" max="5634" width="24.28515625" style="411" customWidth="1"/>
    <col min="5635" max="5641" width="11.42578125" style="411"/>
    <col min="5642" max="5642" width="13.42578125" style="411" bestFit="1" customWidth="1"/>
    <col min="5643" max="5889" width="11.42578125" style="411"/>
    <col min="5890" max="5890" width="24.28515625" style="411" customWidth="1"/>
    <col min="5891" max="5897" width="11.42578125" style="411"/>
    <col min="5898" max="5898" width="13.42578125" style="411" bestFit="1" customWidth="1"/>
    <col min="5899" max="6145" width="11.42578125" style="411"/>
    <col min="6146" max="6146" width="24.28515625" style="411" customWidth="1"/>
    <col min="6147" max="6153" width="11.42578125" style="411"/>
    <col min="6154" max="6154" width="13.42578125" style="411" bestFit="1" customWidth="1"/>
    <col min="6155" max="6401" width="11.42578125" style="411"/>
    <col min="6402" max="6402" width="24.28515625" style="411" customWidth="1"/>
    <col min="6403" max="6409" width="11.42578125" style="411"/>
    <col min="6410" max="6410" width="13.42578125" style="411" bestFit="1" customWidth="1"/>
    <col min="6411" max="6657" width="11.42578125" style="411"/>
    <col min="6658" max="6658" width="24.28515625" style="411" customWidth="1"/>
    <col min="6659" max="6665" width="11.42578125" style="411"/>
    <col min="6666" max="6666" width="13.42578125" style="411" bestFit="1" customWidth="1"/>
    <col min="6667" max="6913" width="11.42578125" style="411"/>
    <col min="6914" max="6914" width="24.28515625" style="411" customWidth="1"/>
    <col min="6915" max="6921" width="11.42578125" style="411"/>
    <col min="6922" max="6922" width="13.42578125" style="411" bestFit="1" customWidth="1"/>
    <col min="6923" max="7169" width="11.42578125" style="411"/>
    <col min="7170" max="7170" width="24.28515625" style="411" customWidth="1"/>
    <col min="7171" max="7177" width="11.42578125" style="411"/>
    <col min="7178" max="7178" width="13.42578125" style="411" bestFit="1" customWidth="1"/>
    <col min="7179" max="7425" width="11.42578125" style="411"/>
    <col min="7426" max="7426" width="24.28515625" style="411" customWidth="1"/>
    <col min="7427" max="7433" width="11.42578125" style="411"/>
    <col min="7434" max="7434" width="13.42578125" style="411" bestFit="1" customWidth="1"/>
    <col min="7435" max="7681" width="11.42578125" style="411"/>
    <col min="7682" max="7682" width="24.28515625" style="411" customWidth="1"/>
    <col min="7683" max="7689" width="11.42578125" style="411"/>
    <col min="7690" max="7690" width="13.42578125" style="411" bestFit="1" customWidth="1"/>
    <col min="7691" max="7937" width="11.42578125" style="411"/>
    <col min="7938" max="7938" width="24.28515625" style="411" customWidth="1"/>
    <col min="7939" max="7945" width="11.42578125" style="411"/>
    <col min="7946" max="7946" width="13.42578125" style="411" bestFit="1" customWidth="1"/>
    <col min="7947" max="8193" width="11.42578125" style="411"/>
    <col min="8194" max="8194" width="24.28515625" style="411" customWidth="1"/>
    <col min="8195" max="8201" width="11.42578125" style="411"/>
    <col min="8202" max="8202" width="13.42578125" style="411" bestFit="1" customWidth="1"/>
    <col min="8203" max="8449" width="11.42578125" style="411"/>
    <col min="8450" max="8450" width="24.28515625" style="411" customWidth="1"/>
    <col min="8451" max="8457" width="11.42578125" style="411"/>
    <col min="8458" max="8458" width="13.42578125" style="411" bestFit="1" customWidth="1"/>
    <col min="8459" max="8705" width="11.42578125" style="411"/>
    <col min="8706" max="8706" width="24.28515625" style="411" customWidth="1"/>
    <col min="8707" max="8713" width="11.42578125" style="411"/>
    <col min="8714" max="8714" width="13.42578125" style="411" bestFit="1" customWidth="1"/>
    <col min="8715" max="8961" width="11.42578125" style="411"/>
    <col min="8962" max="8962" width="24.28515625" style="411" customWidth="1"/>
    <col min="8963" max="8969" width="11.42578125" style="411"/>
    <col min="8970" max="8970" width="13.42578125" style="411" bestFit="1" customWidth="1"/>
    <col min="8971" max="9217" width="11.42578125" style="411"/>
    <col min="9218" max="9218" width="24.28515625" style="411" customWidth="1"/>
    <col min="9219" max="9225" width="11.42578125" style="411"/>
    <col min="9226" max="9226" width="13.42578125" style="411" bestFit="1" customWidth="1"/>
    <col min="9227" max="9473" width="11.42578125" style="411"/>
    <col min="9474" max="9474" width="24.28515625" style="411" customWidth="1"/>
    <col min="9475" max="9481" width="11.42578125" style="411"/>
    <col min="9482" max="9482" width="13.42578125" style="411" bestFit="1" customWidth="1"/>
    <col min="9483" max="9729" width="11.42578125" style="411"/>
    <col min="9730" max="9730" width="24.28515625" style="411" customWidth="1"/>
    <col min="9731" max="9737" width="11.42578125" style="411"/>
    <col min="9738" max="9738" width="13.42578125" style="411" bestFit="1" customWidth="1"/>
    <col min="9739" max="9985" width="11.42578125" style="411"/>
    <col min="9986" max="9986" width="24.28515625" style="411" customWidth="1"/>
    <col min="9987" max="9993" width="11.42578125" style="411"/>
    <col min="9994" max="9994" width="13.42578125" style="411" bestFit="1" customWidth="1"/>
    <col min="9995" max="10241" width="11.42578125" style="411"/>
    <col min="10242" max="10242" width="24.28515625" style="411" customWidth="1"/>
    <col min="10243" max="10249" width="11.42578125" style="411"/>
    <col min="10250" max="10250" width="13.42578125" style="411" bestFit="1" customWidth="1"/>
    <col min="10251" max="10497" width="11.42578125" style="411"/>
    <col min="10498" max="10498" width="24.28515625" style="411" customWidth="1"/>
    <col min="10499" max="10505" width="11.42578125" style="411"/>
    <col min="10506" max="10506" width="13.42578125" style="411" bestFit="1" customWidth="1"/>
    <col min="10507" max="10753" width="11.42578125" style="411"/>
    <col min="10754" max="10754" width="24.28515625" style="411" customWidth="1"/>
    <col min="10755" max="10761" width="11.42578125" style="411"/>
    <col min="10762" max="10762" width="13.42578125" style="411" bestFit="1" customWidth="1"/>
    <col min="10763" max="11009" width="11.42578125" style="411"/>
    <col min="11010" max="11010" width="24.28515625" style="411" customWidth="1"/>
    <col min="11011" max="11017" width="11.42578125" style="411"/>
    <col min="11018" max="11018" width="13.42578125" style="411" bestFit="1" customWidth="1"/>
    <col min="11019" max="11265" width="11.42578125" style="411"/>
    <col min="11266" max="11266" width="24.28515625" style="411" customWidth="1"/>
    <col min="11267" max="11273" width="11.42578125" style="411"/>
    <col min="11274" max="11274" width="13.42578125" style="411" bestFit="1" customWidth="1"/>
    <col min="11275" max="11521" width="11.42578125" style="411"/>
    <col min="11522" max="11522" width="24.28515625" style="411" customWidth="1"/>
    <col min="11523" max="11529" width="11.42578125" style="411"/>
    <col min="11530" max="11530" width="13.42578125" style="411" bestFit="1" customWidth="1"/>
    <col min="11531" max="11777" width="11.42578125" style="411"/>
    <col min="11778" max="11778" width="24.28515625" style="411" customWidth="1"/>
    <col min="11779" max="11785" width="11.42578125" style="411"/>
    <col min="11786" max="11786" width="13.42578125" style="411" bestFit="1" customWidth="1"/>
    <col min="11787" max="12033" width="11.42578125" style="411"/>
    <col min="12034" max="12034" width="24.28515625" style="411" customWidth="1"/>
    <col min="12035" max="12041" width="11.42578125" style="411"/>
    <col min="12042" max="12042" width="13.42578125" style="411" bestFit="1" customWidth="1"/>
    <col min="12043" max="12289" width="11.42578125" style="411"/>
    <col min="12290" max="12290" width="24.28515625" style="411" customWidth="1"/>
    <col min="12291" max="12297" width="11.42578125" style="411"/>
    <col min="12298" max="12298" width="13.42578125" style="411" bestFit="1" customWidth="1"/>
    <col min="12299" max="12545" width="11.42578125" style="411"/>
    <col min="12546" max="12546" width="24.28515625" style="411" customWidth="1"/>
    <col min="12547" max="12553" width="11.42578125" style="411"/>
    <col min="12554" max="12554" width="13.42578125" style="411" bestFit="1" customWidth="1"/>
    <col min="12555" max="12801" width="11.42578125" style="411"/>
    <col min="12802" max="12802" width="24.28515625" style="411" customWidth="1"/>
    <col min="12803" max="12809" width="11.42578125" style="411"/>
    <col min="12810" max="12810" width="13.42578125" style="411" bestFit="1" customWidth="1"/>
    <col min="12811" max="13057" width="11.42578125" style="411"/>
    <col min="13058" max="13058" width="24.28515625" style="411" customWidth="1"/>
    <col min="13059" max="13065" width="11.42578125" style="411"/>
    <col min="13066" max="13066" width="13.42578125" style="411" bestFit="1" customWidth="1"/>
    <col min="13067" max="13313" width="11.42578125" style="411"/>
    <col min="13314" max="13314" width="24.28515625" style="411" customWidth="1"/>
    <col min="13315" max="13321" width="11.42578125" style="411"/>
    <col min="13322" max="13322" width="13.42578125" style="411" bestFit="1" customWidth="1"/>
    <col min="13323" max="13569" width="11.42578125" style="411"/>
    <col min="13570" max="13570" width="24.28515625" style="411" customWidth="1"/>
    <col min="13571" max="13577" width="11.42578125" style="411"/>
    <col min="13578" max="13578" width="13.42578125" style="411" bestFit="1" customWidth="1"/>
    <col min="13579" max="13825" width="11.42578125" style="411"/>
    <col min="13826" max="13826" width="24.28515625" style="411" customWidth="1"/>
    <col min="13827" max="13833" width="11.42578125" style="411"/>
    <col min="13834" max="13834" width="13.42578125" style="411" bestFit="1" customWidth="1"/>
    <col min="13835" max="14081" width="11.42578125" style="411"/>
    <col min="14082" max="14082" width="24.28515625" style="411" customWidth="1"/>
    <col min="14083" max="14089" width="11.42578125" style="411"/>
    <col min="14090" max="14090" width="13.42578125" style="411" bestFit="1" customWidth="1"/>
    <col min="14091" max="14337" width="11.42578125" style="411"/>
    <col min="14338" max="14338" width="24.28515625" style="411" customWidth="1"/>
    <col min="14339" max="14345" width="11.42578125" style="411"/>
    <col min="14346" max="14346" width="13.42578125" style="411" bestFit="1" customWidth="1"/>
    <col min="14347" max="14593" width="11.42578125" style="411"/>
    <col min="14594" max="14594" width="24.28515625" style="411" customWidth="1"/>
    <col min="14595" max="14601" width="11.42578125" style="411"/>
    <col min="14602" max="14602" width="13.42578125" style="411" bestFit="1" customWidth="1"/>
    <col min="14603" max="14849" width="11.42578125" style="411"/>
    <col min="14850" max="14850" width="24.28515625" style="411" customWidth="1"/>
    <col min="14851" max="14857" width="11.42578125" style="411"/>
    <col min="14858" max="14858" width="13.42578125" style="411" bestFit="1" customWidth="1"/>
    <col min="14859" max="15105" width="11.42578125" style="411"/>
    <col min="15106" max="15106" width="24.28515625" style="411" customWidth="1"/>
    <col min="15107" max="15113" width="11.42578125" style="411"/>
    <col min="15114" max="15114" width="13.42578125" style="411" bestFit="1" customWidth="1"/>
    <col min="15115" max="15361" width="11.42578125" style="411"/>
    <col min="15362" max="15362" width="24.28515625" style="411" customWidth="1"/>
    <col min="15363" max="15369" width="11.42578125" style="411"/>
    <col min="15370" max="15370" width="13.42578125" style="411" bestFit="1" customWidth="1"/>
    <col min="15371" max="15617" width="11.42578125" style="411"/>
    <col min="15618" max="15618" width="24.28515625" style="411" customWidth="1"/>
    <col min="15619" max="15625" width="11.42578125" style="411"/>
    <col min="15626" max="15626" width="13.42578125" style="411" bestFit="1" customWidth="1"/>
    <col min="15627" max="15873" width="11.42578125" style="411"/>
    <col min="15874" max="15874" width="24.28515625" style="411" customWidth="1"/>
    <col min="15875" max="15881" width="11.42578125" style="411"/>
    <col min="15882" max="15882" width="13.42578125" style="411" bestFit="1" customWidth="1"/>
    <col min="15883" max="16129" width="11.42578125" style="411"/>
    <col min="16130" max="16130" width="24.28515625" style="411" customWidth="1"/>
    <col min="16131" max="16137" width="11.42578125" style="411"/>
    <col min="16138" max="16138" width="13.42578125" style="411" bestFit="1" customWidth="1"/>
    <col min="16139" max="16384" width="11.42578125" style="411"/>
  </cols>
  <sheetData>
    <row r="1" spans="2:9" ht="13.5" thickBot="1"/>
    <row r="2" spans="2:9">
      <c r="B2" s="412" t="s">
        <v>263</v>
      </c>
      <c r="C2" s="418">
        <f>INPUTS!C6</f>
        <v>0.12</v>
      </c>
    </row>
    <row r="3" spans="2:9">
      <c r="B3" s="413" t="s">
        <v>252</v>
      </c>
      <c r="C3" s="419">
        <f>-RENTAB!C15</f>
        <v>493277.2</v>
      </c>
    </row>
    <row r="4" spans="2:9">
      <c r="B4" s="413" t="s">
        <v>261</v>
      </c>
      <c r="C4" s="419">
        <f>RENTAB!C18</f>
        <v>1147001.5286679086</v>
      </c>
    </row>
    <row r="5" spans="2:9" ht="13.5" thickBot="1">
      <c r="B5" s="415" t="s">
        <v>264</v>
      </c>
      <c r="C5" s="420">
        <f>SUM(C3:C4)</f>
        <v>1640278.7286679086</v>
      </c>
    </row>
    <row r="7" spans="2:9" ht="13.5" thickBot="1"/>
    <row r="8" spans="2:9">
      <c r="B8" s="421" t="s">
        <v>265</v>
      </c>
      <c r="C8" s="422" t="s">
        <v>266</v>
      </c>
      <c r="D8" s="422" t="s">
        <v>267</v>
      </c>
      <c r="E8" s="422" t="s">
        <v>268</v>
      </c>
      <c r="F8" s="422" t="s">
        <v>269</v>
      </c>
      <c r="G8" s="423" t="s">
        <v>262</v>
      </c>
    </row>
    <row r="9" spans="2:9">
      <c r="B9" s="424" t="s">
        <v>270</v>
      </c>
      <c r="C9" s="425">
        <v>1</v>
      </c>
      <c r="D9" s="425">
        <v>2</v>
      </c>
      <c r="E9" s="425">
        <v>2</v>
      </c>
      <c r="F9" s="425">
        <v>1</v>
      </c>
      <c r="G9" s="426">
        <f>SUM(C9:F9)</f>
        <v>6</v>
      </c>
    </row>
    <row r="10" spans="2:9">
      <c r="B10" s="424" t="s">
        <v>271</v>
      </c>
      <c r="C10" s="425">
        <v>25000</v>
      </c>
      <c r="D10" s="425">
        <v>10000</v>
      </c>
      <c r="E10" s="425">
        <v>15000</v>
      </c>
      <c r="F10" s="425">
        <v>30000</v>
      </c>
      <c r="G10" s="426"/>
    </row>
    <row r="11" spans="2:9">
      <c r="B11" s="424" t="s">
        <v>272</v>
      </c>
      <c r="C11" s="427">
        <v>0.5</v>
      </c>
      <c r="D11" s="427">
        <v>0.6</v>
      </c>
      <c r="E11" s="427">
        <v>0.7</v>
      </c>
      <c r="F11" s="427">
        <v>0.8</v>
      </c>
      <c r="G11" s="426"/>
    </row>
    <row r="12" spans="2:9">
      <c r="B12" s="424" t="s">
        <v>273</v>
      </c>
      <c r="C12" s="428">
        <f>-PV($C$2,C9,C10,0,1)</f>
        <v>25000.000000000022</v>
      </c>
      <c r="D12" s="428">
        <f>-PV($C$2,D9,D10,0,1)</f>
        <v>18928.571428571442</v>
      </c>
      <c r="E12" s="428">
        <f>-PV($C$2,E9,E10,0,1)</f>
        <v>28392.857142857163</v>
      </c>
      <c r="F12" s="428">
        <f>-PV($C$2,F9,F10,0,1)</f>
        <v>30000.000000000022</v>
      </c>
      <c r="G12" s="426"/>
    </row>
    <row r="13" spans="2:9">
      <c r="B13" s="429" t="s">
        <v>274</v>
      </c>
      <c r="C13" s="430">
        <f>C9</f>
        <v>1</v>
      </c>
      <c r="D13" s="430">
        <f>C13+D9</f>
        <v>3</v>
      </c>
      <c r="E13" s="430">
        <f>D13+E9</f>
        <v>5</v>
      </c>
      <c r="F13" s="430">
        <f>E13+F9</f>
        <v>6</v>
      </c>
      <c r="G13" s="431"/>
    </row>
    <row r="15" spans="2:9">
      <c r="B15" s="432" t="s">
        <v>45</v>
      </c>
      <c r="C15" s="416">
        <v>1</v>
      </c>
      <c r="D15" s="416">
        <f>C15+1</f>
        <v>2</v>
      </c>
      <c r="E15" s="416">
        <f>D15+1</f>
        <v>3</v>
      </c>
      <c r="F15" s="416">
        <f>E15+1</f>
        <v>4</v>
      </c>
      <c r="G15" s="416">
        <f>F15+1</f>
        <v>5</v>
      </c>
      <c r="H15" s="416">
        <f>G15+1</f>
        <v>6</v>
      </c>
      <c r="I15" s="433"/>
    </row>
    <row r="16" spans="2:9" ht="13.5" thickBot="1">
      <c r="B16" s="434" t="s">
        <v>275</v>
      </c>
      <c r="C16" s="435" t="str">
        <f t="shared" ref="C16:H16" si="0">IF(C15&lt;=$C$13,$C$8,IF(C15&lt;=$D$13,$D$8,IF(C15&lt;=$E$13,$E$8,$F$8)))</f>
        <v>Fase 1</v>
      </c>
      <c r="D16" s="435" t="str">
        <f t="shared" si="0"/>
        <v>Fase 2</v>
      </c>
      <c r="E16" s="435" t="str">
        <f t="shared" si="0"/>
        <v>Fase 2</v>
      </c>
      <c r="F16" s="435" t="str">
        <f t="shared" si="0"/>
        <v>Fase 3</v>
      </c>
      <c r="G16" s="435" t="str">
        <f t="shared" si="0"/>
        <v>Fase 3</v>
      </c>
      <c r="H16" s="435" t="str">
        <f t="shared" si="0"/>
        <v>Fase 4</v>
      </c>
      <c r="I16" s="436"/>
    </row>
    <row r="17" spans="2:12">
      <c r="B17" s="410" t="s">
        <v>276</v>
      </c>
      <c r="C17" s="437">
        <f t="shared" ref="C17:I17" si="1">IF(C15=$C$13,$C$11,IF(C15=$D$13,$D$11,IF(C15=$E$13,$E$11,IF(C15=$F$13,$F$11,1))))</f>
        <v>0.5</v>
      </c>
      <c r="D17" s="437">
        <f t="shared" si="1"/>
        <v>1</v>
      </c>
      <c r="E17" s="437">
        <f t="shared" si="1"/>
        <v>0.6</v>
      </c>
      <c r="F17" s="437">
        <f t="shared" si="1"/>
        <v>1</v>
      </c>
      <c r="G17" s="437">
        <f t="shared" si="1"/>
        <v>0.7</v>
      </c>
      <c r="H17" s="437">
        <f t="shared" si="1"/>
        <v>0.8</v>
      </c>
      <c r="I17" s="437">
        <f t="shared" si="1"/>
        <v>1</v>
      </c>
    </row>
    <row r="18" spans="2:12">
      <c r="B18" s="410" t="s">
        <v>277</v>
      </c>
      <c r="C18" s="437">
        <f t="shared" ref="C18:H18" si="2">D18*C17</f>
        <v>0.16799999999999998</v>
      </c>
      <c r="D18" s="437">
        <f t="shared" si="2"/>
        <v>0.33599999999999997</v>
      </c>
      <c r="E18" s="437">
        <f t="shared" si="2"/>
        <v>0.33599999999999997</v>
      </c>
      <c r="F18" s="437">
        <f t="shared" si="2"/>
        <v>0.55999999999999994</v>
      </c>
      <c r="G18" s="437">
        <f t="shared" si="2"/>
        <v>0.55999999999999994</v>
      </c>
      <c r="H18" s="437">
        <f t="shared" si="2"/>
        <v>0.8</v>
      </c>
      <c r="I18" s="437">
        <f>I17</f>
        <v>1</v>
      </c>
    </row>
    <row r="19" spans="2:12">
      <c r="B19" s="410" t="s">
        <v>278</v>
      </c>
      <c r="C19" s="438">
        <f t="shared" ref="C19:H19" si="3">SUMIF($C$8:$F$8,C16,$C$10:$F$10)</f>
        <v>25000</v>
      </c>
      <c r="D19" s="438">
        <f t="shared" si="3"/>
        <v>10000</v>
      </c>
      <c r="E19" s="438">
        <f t="shared" si="3"/>
        <v>10000</v>
      </c>
      <c r="F19" s="438">
        <f t="shared" si="3"/>
        <v>15000</v>
      </c>
      <c r="G19" s="438">
        <f t="shared" si="3"/>
        <v>15000</v>
      </c>
      <c r="H19" s="438">
        <f t="shared" si="3"/>
        <v>30000</v>
      </c>
      <c r="I19" s="438">
        <f>C3</f>
        <v>493277.2</v>
      </c>
    </row>
    <row r="20" spans="2:12">
      <c r="B20" s="410" t="s">
        <v>264</v>
      </c>
      <c r="C20" s="433"/>
      <c r="D20" s="433"/>
      <c r="E20" s="433"/>
      <c r="F20" s="433"/>
      <c r="G20" s="433"/>
      <c r="H20" s="433"/>
      <c r="I20" s="438">
        <f>C5</f>
        <v>1640278.7286679086</v>
      </c>
    </row>
    <row r="21" spans="2:12">
      <c r="B21" s="439" t="s">
        <v>279</v>
      </c>
      <c r="C21" s="430">
        <f t="shared" ref="C21:H21" si="4">-C19</f>
        <v>-25000</v>
      </c>
      <c r="D21" s="430">
        <f t="shared" si="4"/>
        <v>-10000</v>
      </c>
      <c r="E21" s="430">
        <f t="shared" si="4"/>
        <v>-10000</v>
      </c>
      <c r="F21" s="430">
        <f t="shared" si="4"/>
        <v>-15000</v>
      </c>
      <c r="G21" s="430">
        <f t="shared" si="4"/>
        <v>-15000</v>
      </c>
      <c r="H21" s="430">
        <f t="shared" si="4"/>
        <v>-30000</v>
      </c>
      <c r="I21" s="430">
        <f>-I19+I20</f>
        <v>1147001.5286679086</v>
      </c>
    </row>
    <row r="22" spans="2:12">
      <c r="C22" s="433"/>
      <c r="D22" s="433"/>
      <c r="E22" s="433"/>
      <c r="F22" s="433"/>
      <c r="G22" s="433"/>
      <c r="H22" s="433"/>
      <c r="I22" s="433"/>
    </row>
    <row r="23" spans="2:12">
      <c r="B23" s="440" t="s">
        <v>280</v>
      </c>
      <c r="C23" s="438">
        <f>C21/C18</f>
        <v>-148809.52380952382</v>
      </c>
      <c r="D23" s="438">
        <f t="shared" ref="D23:I23" si="5">D21/D18</f>
        <v>-29761.904761904763</v>
      </c>
      <c r="E23" s="438">
        <f t="shared" si="5"/>
        <v>-29761.904761904763</v>
      </c>
      <c r="F23" s="438">
        <f t="shared" si="5"/>
        <v>-26785.71428571429</v>
      </c>
      <c r="G23" s="438">
        <f t="shared" si="5"/>
        <v>-26785.71428571429</v>
      </c>
      <c r="H23" s="438">
        <f t="shared" si="5"/>
        <v>-37500</v>
      </c>
      <c r="I23" s="438">
        <f t="shared" si="5"/>
        <v>1147001.5286679086</v>
      </c>
    </row>
    <row r="24" spans="2:12">
      <c r="B24" s="441" t="s">
        <v>281</v>
      </c>
      <c r="C24" s="442">
        <f>C18*(C23+NPV($C$2,D23:$I$23))</f>
        <v>54538.033876418624</v>
      </c>
      <c r="D24" s="442">
        <f>D18*(D23+NPV($C$2,E23:$I$23))</f>
        <v>178165.19588317772</v>
      </c>
      <c r="E24" s="442">
        <f>E18*(E23+NPV($C$2,F23:$I$23))</f>
        <v>210745.01938915905</v>
      </c>
      <c r="F24" s="442">
        <f>F18*(F23+NPV($C$2,G23:$I$23))</f>
        <v>412057.36952643027</v>
      </c>
      <c r="G24" s="442">
        <f>G18*(G23+NPV($C$2,H23:$I$23))</f>
        <v>478304.25386960187</v>
      </c>
      <c r="H24" s="442">
        <f>H18*(H23+NPV($C$2,I23:$I$23))</f>
        <v>789286.80619136326</v>
      </c>
      <c r="I24" s="442">
        <f>I18*I23</f>
        <v>1147001.5286679086</v>
      </c>
    </row>
    <row r="27" spans="2:12">
      <c r="B27" s="433"/>
      <c r="C27" s="433"/>
      <c r="D27" s="437">
        <f>1-D31</f>
        <v>0.5</v>
      </c>
      <c r="E27" s="433"/>
      <c r="F27" s="433"/>
      <c r="G27" s="433"/>
      <c r="H27" s="433"/>
      <c r="I27" s="433"/>
      <c r="J27" s="433"/>
      <c r="K27" s="433"/>
      <c r="L27" s="433"/>
    </row>
    <row r="28" spans="2:12">
      <c r="B28" s="433"/>
      <c r="C28" s="433"/>
      <c r="D28" s="443" t="s">
        <v>282</v>
      </c>
      <c r="E28" s="433"/>
      <c r="F28" s="433"/>
      <c r="G28" s="433"/>
      <c r="H28" s="433"/>
      <c r="I28" s="433"/>
      <c r="J28" s="433"/>
      <c r="K28" s="433"/>
      <c r="L28" s="433"/>
    </row>
    <row r="29" spans="2:12">
      <c r="B29" s="433"/>
      <c r="C29" s="433"/>
      <c r="D29" s="433"/>
      <c r="E29" s="433"/>
      <c r="F29" s="437">
        <f>1-F33</f>
        <v>0.4</v>
      </c>
      <c r="G29" s="433"/>
      <c r="H29" s="433"/>
      <c r="I29" s="433"/>
      <c r="J29" s="433"/>
      <c r="K29" s="433"/>
      <c r="L29" s="433"/>
    </row>
    <row r="30" spans="2:12" ht="13.5" thickBot="1">
      <c r="B30" s="444" t="str">
        <f>C8</f>
        <v>Fase 1</v>
      </c>
      <c r="C30" s="433"/>
      <c r="D30" s="433"/>
      <c r="E30" s="433"/>
      <c r="F30" s="443" t="s">
        <v>282</v>
      </c>
      <c r="G30" s="433"/>
      <c r="H30" s="433"/>
      <c r="I30" s="433"/>
      <c r="J30" s="433"/>
      <c r="K30" s="433"/>
      <c r="L30" s="433"/>
    </row>
    <row r="31" spans="2:12" ht="13.5" thickBot="1">
      <c r="B31" s="445">
        <f>C12</f>
        <v>25000.000000000022</v>
      </c>
      <c r="C31" s="433"/>
      <c r="D31" s="446">
        <f>C11</f>
        <v>0.5</v>
      </c>
      <c r="E31" s="433"/>
      <c r="F31" s="433"/>
      <c r="G31" s="433"/>
      <c r="H31" s="437">
        <f>1-H35</f>
        <v>0.30000000000000004</v>
      </c>
      <c r="I31" s="433"/>
      <c r="J31" s="433"/>
      <c r="K31" s="433"/>
      <c r="L31" s="433"/>
    </row>
    <row r="32" spans="2:12" ht="13.5" thickBot="1">
      <c r="B32" s="447">
        <f>-B31+D31*D34/(1+$C$2)^B33</f>
        <v>54538.03387641858</v>
      </c>
      <c r="C32" s="433"/>
      <c r="D32" s="444" t="str">
        <f>D8</f>
        <v>Fase 2</v>
      </c>
      <c r="E32" s="433"/>
      <c r="F32" s="433"/>
      <c r="G32" s="433"/>
      <c r="H32" s="443" t="s">
        <v>282</v>
      </c>
      <c r="I32" s="433"/>
      <c r="J32" s="433"/>
      <c r="K32" s="433"/>
      <c r="L32" s="433"/>
    </row>
    <row r="33" spans="2:12" ht="13.5" thickBot="1">
      <c r="B33" s="448">
        <f>C9</f>
        <v>1</v>
      </c>
      <c r="C33" s="433"/>
      <c r="D33" s="445">
        <f>D12</f>
        <v>18928.571428571442</v>
      </c>
      <c r="E33" s="433"/>
      <c r="F33" s="446">
        <f>D11</f>
        <v>0.6</v>
      </c>
      <c r="G33" s="433"/>
      <c r="H33" s="433"/>
      <c r="I33" s="433"/>
      <c r="J33" s="437">
        <f>1-J37</f>
        <v>0.19999999999999996</v>
      </c>
      <c r="K33" s="433"/>
      <c r="L33" s="433"/>
    </row>
    <row r="34" spans="2:12" ht="13.5" thickBot="1">
      <c r="B34" s="433"/>
      <c r="C34" s="433"/>
      <c r="D34" s="447">
        <f>-D33+F33*F36/(1+$C$2)^D35</f>
        <v>178165.19588317769</v>
      </c>
      <c r="E34" s="433"/>
      <c r="F34" s="444" t="str">
        <f>E8</f>
        <v>Fase 3</v>
      </c>
      <c r="G34" s="433"/>
      <c r="H34" s="433"/>
      <c r="I34" s="433"/>
      <c r="J34" s="443" t="s">
        <v>282</v>
      </c>
      <c r="K34" s="433"/>
      <c r="L34" s="433"/>
    </row>
    <row r="35" spans="2:12" ht="13.5" thickBot="1">
      <c r="B35" s="433"/>
      <c r="C35" s="433"/>
      <c r="D35" s="448">
        <f>D9</f>
        <v>2</v>
      </c>
      <c r="E35" s="433"/>
      <c r="F35" s="445">
        <f>E12</f>
        <v>28392.857142857163</v>
      </c>
      <c r="G35" s="433"/>
      <c r="H35" s="446">
        <f>E11</f>
        <v>0.7</v>
      </c>
      <c r="I35" s="433"/>
      <c r="K35" s="433"/>
      <c r="L35" s="433"/>
    </row>
    <row r="36" spans="2:12" ht="13.5" thickBot="1">
      <c r="B36" s="433"/>
      <c r="C36" s="433"/>
      <c r="D36" s="433"/>
      <c r="E36" s="433"/>
      <c r="F36" s="447">
        <f>-F35+H35*H38/(1+$C$2)^F37</f>
        <v>412057.36952643027</v>
      </c>
      <c r="G36" s="433"/>
      <c r="H36" s="444" t="str">
        <f>F8</f>
        <v>Fase 4</v>
      </c>
      <c r="I36" s="433"/>
      <c r="J36" s="433"/>
      <c r="K36" s="433"/>
      <c r="L36" s="437"/>
    </row>
    <row r="37" spans="2:12" ht="13.5" thickBot="1">
      <c r="B37" s="433"/>
      <c r="C37" s="433"/>
      <c r="D37" s="433"/>
      <c r="E37" s="433"/>
      <c r="F37" s="448">
        <f>E9</f>
        <v>2</v>
      </c>
      <c r="G37" s="433"/>
      <c r="H37" s="445">
        <f>F12</f>
        <v>30000.000000000022</v>
      </c>
      <c r="I37" s="433"/>
      <c r="J37" s="446">
        <f>F11</f>
        <v>0.8</v>
      </c>
      <c r="K37" s="433"/>
      <c r="L37" s="433"/>
    </row>
    <row r="38" spans="2:12" ht="13.5" thickBot="1">
      <c r="B38" s="433"/>
      <c r="C38" s="433"/>
      <c r="D38" s="433"/>
      <c r="E38" s="433"/>
      <c r="F38" s="433"/>
      <c r="G38" s="433"/>
      <c r="H38" s="447">
        <f>-H37+J37*J40/(1+$C$2)^H39</f>
        <v>789286.80619136326</v>
      </c>
      <c r="I38" s="433"/>
      <c r="J38" s="444" t="s">
        <v>283</v>
      </c>
      <c r="K38" s="433"/>
      <c r="L38" s="433"/>
    </row>
    <row r="39" spans="2:12" ht="13.5" thickBot="1">
      <c r="B39" s="433"/>
      <c r="C39" s="433"/>
      <c r="D39" s="433"/>
      <c r="E39" s="433"/>
      <c r="F39" s="433"/>
      <c r="G39" s="433"/>
      <c r="H39" s="448">
        <f>F9</f>
        <v>1</v>
      </c>
      <c r="I39" s="433"/>
      <c r="K39" s="433"/>
      <c r="L39" s="433"/>
    </row>
    <row r="40" spans="2:12" ht="13.5" thickBot="1">
      <c r="B40" s="449" t="s">
        <v>276</v>
      </c>
      <c r="C40" s="433"/>
      <c r="D40" s="433"/>
      <c r="E40" s="433"/>
      <c r="F40" s="433"/>
      <c r="G40" s="433"/>
      <c r="H40" s="433"/>
      <c r="I40" s="433"/>
      <c r="J40" s="450">
        <f>C4</f>
        <v>1147001.5286679086</v>
      </c>
      <c r="K40" s="433"/>
      <c r="L40" s="433"/>
    </row>
    <row r="41" spans="2:12" ht="13.5" thickBot="1">
      <c r="B41" s="451" t="s">
        <v>275</v>
      </c>
      <c r="C41" s="433"/>
      <c r="D41" s="433"/>
      <c r="E41" s="433"/>
      <c r="F41" s="433"/>
      <c r="G41" s="433"/>
      <c r="H41" s="433"/>
      <c r="I41" s="433"/>
      <c r="K41" s="433"/>
    </row>
    <row r="42" spans="2:12" ht="13.5" thickBot="1">
      <c r="B42" s="445" t="s">
        <v>278</v>
      </c>
      <c r="C42" s="433"/>
      <c r="D42" s="433"/>
      <c r="E42" s="433"/>
      <c r="F42" s="433"/>
      <c r="G42" s="433"/>
      <c r="H42" s="433"/>
      <c r="I42" s="433"/>
      <c r="J42" s="433"/>
      <c r="K42" s="433"/>
    </row>
    <row r="43" spans="2:12" ht="13.5" thickBot="1">
      <c r="B43" s="447" t="s">
        <v>264</v>
      </c>
      <c r="C43" s="433"/>
      <c r="D43" s="433"/>
      <c r="E43" s="433"/>
      <c r="F43" s="433"/>
      <c r="G43" s="433"/>
      <c r="H43" s="433"/>
      <c r="I43" s="433"/>
      <c r="J43" s="433"/>
      <c r="K43" s="433"/>
    </row>
    <row r="44" spans="2:12" ht="13.5" thickBot="1">
      <c r="B44" s="448" t="s">
        <v>270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8"/>
  <sheetViews>
    <sheetView workbookViewId="0">
      <selection activeCell="G24" sqref="G24"/>
    </sheetView>
  </sheetViews>
  <sheetFormatPr baseColWidth="10" defaultRowHeight="12.75"/>
  <cols>
    <col min="1" max="1" width="6.85546875" style="410" customWidth="1"/>
    <col min="2" max="2" width="22.7109375" style="410" bestFit="1" customWidth="1"/>
    <col min="3" max="3" width="14.28515625" style="410" customWidth="1"/>
    <col min="4" max="4" width="17.42578125" style="410" customWidth="1"/>
    <col min="5" max="5" width="19.85546875" style="410" customWidth="1"/>
    <col min="6" max="6" width="15" style="410" customWidth="1"/>
    <col min="7" max="8" width="12.7109375" style="410" bestFit="1" customWidth="1"/>
    <col min="9" max="256" width="11.42578125" style="410"/>
    <col min="257" max="257" width="6.85546875" style="410" customWidth="1"/>
    <col min="258" max="258" width="22.7109375" style="410" bestFit="1" customWidth="1"/>
    <col min="259" max="259" width="14.28515625" style="410" customWidth="1"/>
    <col min="260" max="260" width="17.42578125" style="410" customWidth="1"/>
    <col min="261" max="261" width="19.85546875" style="410" customWidth="1"/>
    <col min="262" max="262" width="15" style="410" customWidth="1"/>
    <col min="263" max="264" width="12.7109375" style="410" bestFit="1" customWidth="1"/>
    <col min="265" max="512" width="11.42578125" style="410"/>
    <col min="513" max="513" width="6.85546875" style="410" customWidth="1"/>
    <col min="514" max="514" width="22.7109375" style="410" bestFit="1" customWidth="1"/>
    <col min="515" max="515" width="14.28515625" style="410" customWidth="1"/>
    <col min="516" max="516" width="17.42578125" style="410" customWidth="1"/>
    <col min="517" max="517" width="19.85546875" style="410" customWidth="1"/>
    <col min="518" max="518" width="15" style="410" customWidth="1"/>
    <col min="519" max="520" width="12.7109375" style="410" bestFit="1" customWidth="1"/>
    <col min="521" max="768" width="11.42578125" style="410"/>
    <col min="769" max="769" width="6.85546875" style="410" customWidth="1"/>
    <col min="770" max="770" width="22.7109375" style="410" bestFit="1" customWidth="1"/>
    <col min="771" max="771" width="14.28515625" style="410" customWidth="1"/>
    <col min="772" max="772" width="17.42578125" style="410" customWidth="1"/>
    <col min="773" max="773" width="19.85546875" style="410" customWidth="1"/>
    <col min="774" max="774" width="15" style="410" customWidth="1"/>
    <col min="775" max="776" width="12.7109375" style="410" bestFit="1" customWidth="1"/>
    <col min="777" max="1024" width="11.42578125" style="410"/>
    <col min="1025" max="1025" width="6.85546875" style="410" customWidth="1"/>
    <col min="1026" max="1026" width="22.7109375" style="410" bestFit="1" customWidth="1"/>
    <col min="1027" max="1027" width="14.28515625" style="410" customWidth="1"/>
    <col min="1028" max="1028" width="17.42578125" style="410" customWidth="1"/>
    <col min="1029" max="1029" width="19.85546875" style="410" customWidth="1"/>
    <col min="1030" max="1030" width="15" style="410" customWidth="1"/>
    <col min="1031" max="1032" width="12.7109375" style="410" bestFit="1" customWidth="1"/>
    <col min="1033" max="1280" width="11.42578125" style="410"/>
    <col min="1281" max="1281" width="6.85546875" style="410" customWidth="1"/>
    <col min="1282" max="1282" width="22.7109375" style="410" bestFit="1" customWidth="1"/>
    <col min="1283" max="1283" width="14.28515625" style="410" customWidth="1"/>
    <col min="1284" max="1284" width="17.42578125" style="410" customWidth="1"/>
    <col min="1285" max="1285" width="19.85546875" style="410" customWidth="1"/>
    <col min="1286" max="1286" width="15" style="410" customWidth="1"/>
    <col min="1287" max="1288" width="12.7109375" style="410" bestFit="1" customWidth="1"/>
    <col min="1289" max="1536" width="11.42578125" style="410"/>
    <col min="1537" max="1537" width="6.85546875" style="410" customWidth="1"/>
    <col min="1538" max="1538" width="22.7109375" style="410" bestFit="1" customWidth="1"/>
    <col min="1539" max="1539" width="14.28515625" style="410" customWidth="1"/>
    <col min="1540" max="1540" width="17.42578125" style="410" customWidth="1"/>
    <col min="1541" max="1541" width="19.85546875" style="410" customWidth="1"/>
    <col min="1542" max="1542" width="15" style="410" customWidth="1"/>
    <col min="1543" max="1544" width="12.7109375" style="410" bestFit="1" customWidth="1"/>
    <col min="1545" max="1792" width="11.42578125" style="410"/>
    <col min="1793" max="1793" width="6.85546875" style="410" customWidth="1"/>
    <col min="1794" max="1794" width="22.7109375" style="410" bestFit="1" customWidth="1"/>
    <col min="1795" max="1795" width="14.28515625" style="410" customWidth="1"/>
    <col min="1796" max="1796" width="17.42578125" style="410" customWidth="1"/>
    <col min="1797" max="1797" width="19.85546875" style="410" customWidth="1"/>
    <col min="1798" max="1798" width="15" style="410" customWidth="1"/>
    <col min="1799" max="1800" width="12.7109375" style="410" bestFit="1" customWidth="1"/>
    <col min="1801" max="2048" width="11.42578125" style="410"/>
    <col min="2049" max="2049" width="6.85546875" style="410" customWidth="1"/>
    <col min="2050" max="2050" width="22.7109375" style="410" bestFit="1" customWidth="1"/>
    <col min="2051" max="2051" width="14.28515625" style="410" customWidth="1"/>
    <col min="2052" max="2052" width="17.42578125" style="410" customWidth="1"/>
    <col min="2053" max="2053" width="19.85546875" style="410" customWidth="1"/>
    <col min="2054" max="2054" width="15" style="410" customWidth="1"/>
    <col min="2055" max="2056" width="12.7109375" style="410" bestFit="1" customWidth="1"/>
    <col min="2057" max="2304" width="11.42578125" style="410"/>
    <col min="2305" max="2305" width="6.85546875" style="410" customWidth="1"/>
    <col min="2306" max="2306" width="22.7109375" style="410" bestFit="1" customWidth="1"/>
    <col min="2307" max="2307" width="14.28515625" style="410" customWidth="1"/>
    <col min="2308" max="2308" width="17.42578125" style="410" customWidth="1"/>
    <col min="2309" max="2309" width="19.85546875" style="410" customWidth="1"/>
    <col min="2310" max="2310" width="15" style="410" customWidth="1"/>
    <col min="2311" max="2312" width="12.7109375" style="410" bestFit="1" customWidth="1"/>
    <col min="2313" max="2560" width="11.42578125" style="410"/>
    <col min="2561" max="2561" width="6.85546875" style="410" customWidth="1"/>
    <col min="2562" max="2562" width="22.7109375" style="410" bestFit="1" customWidth="1"/>
    <col min="2563" max="2563" width="14.28515625" style="410" customWidth="1"/>
    <col min="2564" max="2564" width="17.42578125" style="410" customWidth="1"/>
    <col min="2565" max="2565" width="19.85546875" style="410" customWidth="1"/>
    <col min="2566" max="2566" width="15" style="410" customWidth="1"/>
    <col min="2567" max="2568" width="12.7109375" style="410" bestFit="1" customWidth="1"/>
    <col min="2569" max="2816" width="11.42578125" style="410"/>
    <col min="2817" max="2817" width="6.85546875" style="410" customWidth="1"/>
    <col min="2818" max="2818" width="22.7109375" style="410" bestFit="1" customWidth="1"/>
    <col min="2819" max="2819" width="14.28515625" style="410" customWidth="1"/>
    <col min="2820" max="2820" width="17.42578125" style="410" customWidth="1"/>
    <col min="2821" max="2821" width="19.85546875" style="410" customWidth="1"/>
    <col min="2822" max="2822" width="15" style="410" customWidth="1"/>
    <col min="2823" max="2824" width="12.7109375" style="410" bestFit="1" customWidth="1"/>
    <col min="2825" max="3072" width="11.42578125" style="410"/>
    <col min="3073" max="3073" width="6.85546875" style="410" customWidth="1"/>
    <col min="3074" max="3074" width="22.7109375" style="410" bestFit="1" customWidth="1"/>
    <col min="3075" max="3075" width="14.28515625" style="410" customWidth="1"/>
    <col min="3076" max="3076" width="17.42578125" style="410" customWidth="1"/>
    <col min="3077" max="3077" width="19.85546875" style="410" customWidth="1"/>
    <col min="3078" max="3078" width="15" style="410" customWidth="1"/>
    <col min="3079" max="3080" width="12.7109375" style="410" bestFit="1" customWidth="1"/>
    <col min="3081" max="3328" width="11.42578125" style="410"/>
    <col min="3329" max="3329" width="6.85546875" style="410" customWidth="1"/>
    <col min="3330" max="3330" width="22.7109375" style="410" bestFit="1" customWidth="1"/>
    <col min="3331" max="3331" width="14.28515625" style="410" customWidth="1"/>
    <col min="3332" max="3332" width="17.42578125" style="410" customWidth="1"/>
    <col min="3333" max="3333" width="19.85546875" style="410" customWidth="1"/>
    <col min="3334" max="3334" width="15" style="410" customWidth="1"/>
    <col min="3335" max="3336" width="12.7109375" style="410" bestFit="1" customWidth="1"/>
    <col min="3337" max="3584" width="11.42578125" style="410"/>
    <col min="3585" max="3585" width="6.85546875" style="410" customWidth="1"/>
    <col min="3586" max="3586" width="22.7109375" style="410" bestFit="1" customWidth="1"/>
    <col min="3587" max="3587" width="14.28515625" style="410" customWidth="1"/>
    <col min="3588" max="3588" width="17.42578125" style="410" customWidth="1"/>
    <col min="3589" max="3589" width="19.85546875" style="410" customWidth="1"/>
    <col min="3590" max="3590" width="15" style="410" customWidth="1"/>
    <col min="3591" max="3592" width="12.7109375" style="410" bestFit="1" customWidth="1"/>
    <col min="3593" max="3840" width="11.42578125" style="410"/>
    <col min="3841" max="3841" width="6.85546875" style="410" customWidth="1"/>
    <col min="3842" max="3842" width="22.7109375" style="410" bestFit="1" customWidth="1"/>
    <col min="3843" max="3843" width="14.28515625" style="410" customWidth="1"/>
    <col min="3844" max="3844" width="17.42578125" style="410" customWidth="1"/>
    <col min="3845" max="3845" width="19.85546875" style="410" customWidth="1"/>
    <col min="3846" max="3846" width="15" style="410" customWidth="1"/>
    <col min="3847" max="3848" width="12.7109375" style="410" bestFit="1" customWidth="1"/>
    <col min="3849" max="4096" width="11.42578125" style="410"/>
    <col min="4097" max="4097" width="6.85546875" style="410" customWidth="1"/>
    <col min="4098" max="4098" width="22.7109375" style="410" bestFit="1" customWidth="1"/>
    <col min="4099" max="4099" width="14.28515625" style="410" customWidth="1"/>
    <col min="4100" max="4100" width="17.42578125" style="410" customWidth="1"/>
    <col min="4101" max="4101" width="19.85546875" style="410" customWidth="1"/>
    <col min="4102" max="4102" width="15" style="410" customWidth="1"/>
    <col min="4103" max="4104" width="12.7109375" style="410" bestFit="1" customWidth="1"/>
    <col min="4105" max="4352" width="11.42578125" style="410"/>
    <col min="4353" max="4353" width="6.85546875" style="410" customWidth="1"/>
    <col min="4354" max="4354" width="22.7109375" style="410" bestFit="1" customWidth="1"/>
    <col min="4355" max="4355" width="14.28515625" style="410" customWidth="1"/>
    <col min="4356" max="4356" width="17.42578125" style="410" customWidth="1"/>
    <col min="4357" max="4357" width="19.85546875" style="410" customWidth="1"/>
    <col min="4358" max="4358" width="15" style="410" customWidth="1"/>
    <col min="4359" max="4360" width="12.7109375" style="410" bestFit="1" customWidth="1"/>
    <col min="4361" max="4608" width="11.42578125" style="410"/>
    <col min="4609" max="4609" width="6.85546875" style="410" customWidth="1"/>
    <col min="4610" max="4610" width="22.7109375" style="410" bestFit="1" customWidth="1"/>
    <col min="4611" max="4611" width="14.28515625" style="410" customWidth="1"/>
    <col min="4612" max="4612" width="17.42578125" style="410" customWidth="1"/>
    <col min="4613" max="4613" width="19.85546875" style="410" customWidth="1"/>
    <col min="4614" max="4614" width="15" style="410" customWidth="1"/>
    <col min="4615" max="4616" width="12.7109375" style="410" bestFit="1" customWidth="1"/>
    <col min="4617" max="4864" width="11.42578125" style="410"/>
    <col min="4865" max="4865" width="6.85546875" style="410" customWidth="1"/>
    <col min="4866" max="4866" width="22.7109375" style="410" bestFit="1" customWidth="1"/>
    <col min="4867" max="4867" width="14.28515625" style="410" customWidth="1"/>
    <col min="4868" max="4868" width="17.42578125" style="410" customWidth="1"/>
    <col min="4869" max="4869" width="19.85546875" style="410" customWidth="1"/>
    <col min="4870" max="4870" width="15" style="410" customWidth="1"/>
    <col min="4871" max="4872" width="12.7109375" style="410" bestFit="1" customWidth="1"/>
    <col min="4873" max="5120" width="11.42578125" style="410"/>
    <col min="5121" max="5121" width="6.85546875" style="410" customWidth="1"/>
    <col min="5122" max="5122" width="22.7109375" style="410" bestFit="1" customWidth="1"/>
    <col min="5123" max="5123" width="14.28515625" style="410" customWidth="1"/>
    <col min="5124" max="5124" width="17.42578125" style="410" customWidth="1"/>
    <col min="5125" max="5125" width="19.85546875" style="410" customWidth="1"/>
    <col min="5126" max="5126" width="15" style="410" customWidth="1"/>
    <col min="5127" max="5128" width="12.7109375" style="410" bestFit="1" customWidth="1"/>
    <col min="5129" max="5376" width="11.42578125" style="410"/>
    <col min="5377" max="5377" width="6.85546875" style="410" customWidth="1"/>
    <col min="5378" max="5378" width="22.7109375" style="410" bestFit="1" customWidth="1"/>
    <col min="5379" max="5379" width="14.28515625" style="410" customWidth="1"/>
    <col min="5380" max="5380" width="17.42578125" style="410" customWidth="1"/>
    <col min="5381" max="5381" width="19.85546875" style="410" customWidth="1"/>
    <col min="5382" max="5382" width="15" style="410" customWidth="1"/>
    <col min="5383" max="5384" width="12.7109375" style="410" bestFit="1" customWidth="1"/>
    <col min="5385" max="5632" width="11.42578125" style="410"/>
    <col min="5633" max="5633" width="6.85546875" style="410" customWidth="1"/>
    <col min="5634" max="5634" width="22.7109375" style="410" bestFit="1" customWidth="1"/>
    <col min="5635" max="5635" width="14.28515625" style="410" customWidth="1"/>
    <col min="5636" max="5636" width="17.42578125" style="410" customWidth="1"/>
    <col min="5637" max="5637" width="19.85546875" style="410" customWidth="1"/>
    <col min="5638" max="5638" width="15" style="410" customWidth="1"/>
    <col min="5639" max="5640" width="12.7109375" style="410" bestFit="1" customWidth="1"/>
    <col min="5641" max="5888" width="11.42578125" style="410"/>
    <col min="5889" max="5889" width="6.85546875" style="410" customWidth="1"/>
    <col min="5890" max="5890" width="22.7109375" style="410" bestFit="1" customWidth="1"/>
    <col min="5891" max="5891" width="14.28515625" style="410" customWidth="1"/>
    <col min="5892" max="5892" width="17.42578125" style="410" customWidth="1"/>
    <col min="5893" max="5893" width="19.85546875" style="410" customWidth="1"/>
    <col min="5894" max="5894" width="15" style="410" customWidth="1"/>
    <col min="5895" max="5896" width="12.7109375" style="410" bestFit="1" customWidth="1"/>
    <col min="5897" max="6144" width="11.42578125" style="410"/>
    <col min="6145" max="6145" width="6.85546875" style="410" customWidth="1"/>
    <col min="6146" max="6146" width="22.7109375" style="410" bestFit="1" customWidth="1"/>
    <col min="6147" max="6147" width="14.28515625" style="410" customWidth="1"/>
    <col min="6148" max="6148" width="17.42578125" style="410" customWidth="1"/>
    <col min="6149" max="6149" width="19.85546875" style="410" customWidth="1"/>
    <col min="6150" max="6150" width="15" style="410" customWidth="1"/>
    <col min="6151" max="6152" width="12.7109375" style="410" bestFit="1" customWidth="1"/>
    <col min="6153" max="6400" width="11.42578125" style="410"/>
    <col min="6401" max="6401" width="6.85546875" style="410" customWidth="1"/>
    <col min="6402" max="6402" width="22.7109375" style="410" bestFit="1" customWidth="1"/>
    <col min="6403" max="6403" width="14.28515625" style="410" customWidth="1"/>
    <col min="6404" max="6404" width="17.42578125" style="410" customWidth="1"/>
    <col min="6405" max="6405" width="19.85546875" style="410" customWidth="1"/>
    <col min="6406" max="6406" width="15" style="410" customWidth="1"/>
    <col min="6407" max="6408" width="12.7109375" style="410" bestFit="1" customWidth="1"/>
    <col min="6409" max="6656" width="11.42578125" style="410"/>
    <col min="6657" max="6657" width="6.85546875" style="410" customWidth="1"/>
    <col min="6658" max="6658" width="22.7109375" style="410" bestFit="1" customWidth="1"/>
    <col min="6659" max="6659" width="14.28515625" style="410" customWidth="1"/>
    <col min="6660" max="6660" width="17.42578125" style="410" customWidth="1"/>
    <col min="6661" max="6661" width="19.85546875" style="410" customWidth="1"/>
    <col min="6662" max="6662" width="15" style="410" customWidth="1"/>
    <col min="6663" max="6664" width="12.7109375" style="410" bestFit="1" customWidth="1"/>
    <col min="6665" max="6912" width="11.42578125" style="410"/>
    <col min="6913" max="6913" width="6.85546875" style="410" customWidth="1"/>
    <col min="6914" max="6914" width="22.7109375" style="410" bestFit="1" customWidth="1"/>
    <col min="6915" max="6915" width="14.28515625" style="410" customWidth="1"/>
    <col min="6916" max="6916" width="17.42578125" style="410" customWidth="1"/>
    <col min="6917" max="6917" width="19.85546875" style="410" customWidth="1"/>
    <col min="6918" max="6918" width="15" style="410" customWidth="1"/>
    <col min="6919" max="6920" width="12.7109375" style="410" bestFit="1" customWidth="1"/>
    <col min="6921" max="7168" width="11.42578125" style="410"/>
    <col min="7169" max="7169" width="6.85546875" style="410" customWidth="1"/>
    <col min="7170" max="7170" width="22.7109375" style="410" bestFit="1" customWidth="1"/>
    <col min="7171" max="7171" width="14.28515625" style="410" customWidth="1"/>
    <col min="7172" max="7172" width="17.42578125" style="410" customWidth="1"/>
    <col min="7173" max="7173" width="19.85546875" style="410" customWidth="1"/>
    <col min="7174" max="7174" width="15" style="410" customWidth="1"/>
    <col min="7175" max="7176" width="12.7109375" style="410" bestFit="1" customWidth="1"/>
    <col min="7177" max="7424" width="11.42578125" style="410"/>
    <col min="7425" max="7425" width="6.85546875" style="410" customWidth="1"/>
    <col min="7426" max="7426" width="22.7109375" style="410" bestFit="1" customWidth="1"/>
    <col min="7427" max="7427" width="14.28515625" style="410" customWidth="1"/>
    <col min="7428" max="7428" width="17.42578125" style="410" customWidth="1"/>
    <col min="7429" max="7429" width="19.85546875" style="410" customWidth="1"/>
    <col min="7430" max="7430" width="15" style="410" customWidth="1"/>
    <col min="7431" max="7432" width="12.7109375" style="410" bestFit="1" customWidth="1"/>
    <col min="7433" max="7680" width="11.42578125" style="410"/>
    <col min="7681" max="7681" width="6.85546875" style="410" customWidth="1"/>
    <col min="7682" max="7682" width="22.7109375" style="410" bestFit="1" customWidth="1"/>
    <col min="7683" max="7683" width="14.28515625" style="410" customWidth="1"/>
    <col min="7684" max="7684" width="17.42578125" style="410" customWidth="1"/>
    <col min="7685" max="7685" width="19.85546875" style="410" customWidth="1"/>
    <col min="7686" max="7686" width="15" style="410" customWidth="1"/>
    <col min="7687" max="7688" width="12.7109375" style="410" bestFit="1" customWidth="1"/>
    <col min="7689" max="7936" width="11.42578125" style="410"/>
    <col min="7937" max="7937" width="6.85546875" style="410" customWidth="1"/>
    <col min="7938" max="7938" width="22.7109375" style="410" bestFit="1" customWidth="1"/>
    <col min="7939" max="7939" width="14.28515625" style="410" customWidth="1"/>
    <col min="7940" max="7940" width="17.42578125" style="410" customWidth="1"/>
    <col min="7941" max="7941" width="19.85546875" style="410" customWidth="1"/>
    <col min="7942" max="7942" width="15" style="410" customWidth="1"/>
    <col min="7943" max="7944" width="12.7109375" style="410" bestFit="1" customWidth="1"/>
    <col min="7945" max="8192" width="11.42578125" style="410"/>
    <col min="8193" max="8193" width="6.85546875" style="410" customWidth="1"/>
    <col min="8194" max="8194" width="22.7109375" style="410" bestFit="1" customWidth="1"/>
    <col min="8195" max="8195" width="14.28515625" style="410" customWidth="1"/>
    <col min="8196" max="8196" width="17.42578125" style="410" customWidth="1"/>
    <col min="8197" max="8197" width="19.85546875" style="410" customWidth="1"/>
    <col min="8198" max="8198" width="15" style="410" customWidth="1"/>
    <col min="8199" max="8200" width="12.7109375" style="410" bestFit="1" customWidth="1"/>
    <col min="8201" max="8448" width="11.42578125" style="410"/>
    <col min="8449" max="8449" width="6.85546875" style="410" customWidth="1"/>
    <col min="8450" max="8450" width="22.7109375" style="410" bestFit="1" customWidth="1"/>
    <col min="8451" max="8451" width="14.28515625" style="410" customWidth="1"/>
    <col min="8452" max="8452" width="17.42578125" style="410" customWidth="1"/>
    <col min="8453" max="8453" width="19.85546875" style="410" customWidth="1"/>
    <col min="8454" max="8454" width="15" style="410" customWidth="1"/>
    <col min="8455" max="8456" width="12.7109375" style="410" bestFit="1" customWidth="1"/>
    <col min="8457" max="8704" width="11.42578125" style="410"/>
    <col min="8705" max="8705" width="6.85546875" style="410" customWidth="1"/>
    <col min="8706" max="8706" width="22.7109375" style="410" bestFit="1" customWidth="1"/>
    <col min="8707" max="8707" width="14.28515625" style="410" customWidth="1"/>
    <col min="8708" max="8708" width="17.42578125" style="410" customWidth="1"/>
    <col min="8709" max="8709" width="19.85546875" style="410" customWidth="1"/>
    <col min="8710" max="8710" width="15" style="410" customWidth="1"/>
    <col min="8711" max="8712" width="12.7109375" style="410" bestFit="1" customWidth="1"/>
    <col min="8713" max="8960" width="11.42578125" style="410"/>
    <col min="8961" max="8961" width="6.85546875" style="410" customWidth="1"/>
    <col min="8962" max="8962" width="22.7109375" style="410" bestFit="1" customWidth="1"/>
    <col min="8963" max="8963" width="14.28515625" style="410" customWidth="1"/>
    <col min="8964" max="8964" width="17.42578125" style="410" customWidth="1"/>
    <col min="8965" max="8965" width="19.85546875" style="410" customWidth="1"/>
    <col min="8966" max="8966" width="15" style="410" customWidth="1"/>
    <col min="8967" max="8968" width="12.7109375" style="410" bestFit="1" customWidth="1"/>
    <col min="8969" max="9216" width="11.42578125" style="410"/>
    <col min="9217" max="9217" width="6.85546875" style="410" customWidth="1"/>
    <col min="9218" max="9218" width="22.7109375" style="410" bestFit="1" customWidth="1"/>
    <col min="9219" max="9219" width="14.28515625" style="410" customWidth="1"/>
    <col min="9220" max="9220" width="17.42578125" style="410" customWidth="1"/>
    <col min="9221" max="9221" width="19.85546875" style="410" customWidth="1"/>
    <col min="9222" max="9222" width="15" style="410" customWidth="1"/>
    <col min="9223" max="9224" width="12.7109375" style="410" bestFit="1" customWidth="1"/>
    <col min="9225" max="9472" width="11.42578125" style="410"/>
    <col min="9473" max="9473" width="6.85546875" style="410" customWidth="1"/>
    <col min="9474" max="9474" width="22.7109375" style="410" bestFit="1" customWidth="1"/>
    <col min="9475" max="9475" width="14.28515625" style="410" customWidth="1"/>
    <col min="9476" max="9476" width="17.42578125" style="410" customWidth="1"/>
    <col min="9477" max="9477" width="19.85546875" style="410" customWidth="1"/>
    <col min="9478" max="9478" width="15" style="410" customWidth="1"/>
    <col min="9479" max="9480" width="12.7109375" style="410" bestFit="1" customWidth="1"/>
    <col min="9481" max="9728" width="11.42578125" style="410"/>
    <col min="9729" max="9729" width="6.85546875" style="410" customWidth="1"/>
    <col min="9730" max="9730" width="22.7109375" style="410" bestFit="1" customWidth="1"/>
    <col min="9731" max="9731" width="14.28515625" style="410" customWidth="1"/>
    <col min="9732" max="9732" width="17.42578125" style="410" customWidth="1"/>
    <col min="9733" max="9733" width="19.85546875" style="410" customWidth="1"/>
    <col min="9734" max="9734" width="15" style="410" customWidth="1"/>
    <col min="9735" max="9736" width="12.7109375" style="410" bestFit="1" customWidth="1"/>
    <col min="9737" max="9984" width="11.42578125" style="410"/>
    <col min="9985" max="9985" width="6.85546875" style="410" customWidth="1"/>
    <col min="9986" max="9986" width="22.7109375" style="410" bestFit="1" customWidth="1"/>
    <col min="9987" max="9987" width="14.28515625" style="410" customWidth="1"/>
    <col min="9988" max="9988" width="17.42578125" style="410" customWidth="1"/>
    <col min="9989" max="9989" width="19.85546875" style="410" customWidth="1"/>
    <col min="9990" max="9990" width="15" style="410" customWidth="1"/>
    <col min="9991" max="9992" width="12.7109375" style="410" bestFit="1" customWidth="1"/>
    <col min="9993" max="10240" width="11.42578125" style="410"/>
    <col min="10241" max="10241" width="6.85546875" style="410" customWidth="1"/>
    <col min="10242" max="10242" width="22.7109375" style="410" bestFit="1" customWidth="1"/>
    <col min="10243" max="10243" width="14.28515625" style="410" customWidth="1"/>
    <col min="10244" max="10244" width="17.42578125" style="410" customWidth="1"/>
    <col min="10245" max="10245" width="19.85546875" style="410" customWidth="1"/>
    <col min="10246" max="10246" width="15" style="410" customWidth="1"/>
    <col min="10247" max="10248" width="12.7109375" style="410" bestFit="1" customWidth="1"/>
    <col min="10249" max="10496" width="11.42578125" style="410"/>
    <col min="10497" max="10497" width="6.85546875" style="410" customWidth="1"/>
    <col min="10498" max="10498" width="22.7109375" style="410" bestFit="1" customWidth="1"/>
    <col min="10499" max="10499" width="14.28515625" style="410" customWidth="1"/>
    <col min="10500" max="10500" width="17.42578125" style="410" customWidth="1"/>
    <col min="10501" max="10501" width="19.85546875" style="410" customWidth="1"/>
    <col min="10502" max="10502" width="15" style="410" customWidth="1"/>
    <col min="10503" max="10504" width="12.7109375" style="410" bestFit="1" customWidth="1"/>
    <col min="10505" max="10752" width="11.42578125" style="410"/>
    <col min="10753" max="10753" width="6.85546875" style="410" customWidth="1"/>
    <col min="10754" max="10754" width="22.7109375" style="410" bestFit="1" customWidth="1"/>
    <col min="10755" max="10755" width="14.28515625" style="410" customWidth="1"/>
    <col min="10756" max="10756" width="17.42578125" style="410" customWidth="1"/>
    <col min="10757" max="10757" width="19.85546875" style="410" customWidth="1"/>
    <col min="10758" max="10758" width="15" style="410" customWidth="1"/>
    <col min="10759" max="10760" width="12.7109375" style="410" bestFit="1" customWidth="1"/>
    <col min="10761" max="11008" width="11.42578125" style="410"/>
    <col min="11009" max="11009" width="6.85546875" style="410" customWidth="1"/>
    <col min="11010" max="11010" width="22.7109375" style="410" bestFit="1" customWidth="1"/>
    <col min="11011" max="11011" width="14.28515625" style="410" customWidth="1"/>
    <col min="11012" max="11012" width="17.42578125" style="410" customWidth="1"/>
    <col min="11013" max="11013" width="19.85546875" style="410" customWidth="1"/>
    <col min="11014" max="11014" width="15" style="410" customWidth="1"/>
    <col min="11015" max="11016" width="12.7109375" style="410" bestFit="1" customWidth="1"/>
    <col min="11017" max="11264" width="11.42578125" style="410"/>
    <col min="11265" max="11265" width="6.85546875" style="410" customWidth="1"/>
    <col min="11266" max="11266" width="22.7109375" style="410" bestFit="1" customWidth="1"/>
    <col min="11267" max="11267" width="14.28515625" style="410" customWidth="1"/>
    <col min="11268" max="11268" width="17.42578125" style="410" customWidth="1"/>
    <col min="11269" max="11269" width="19.85546875" style="410" customWidth="1"/>
    <col min="11270" max="11270" width="15" style="410" customWidth="1"/>
    <col min="11271" max="11272" width="12.7109375" style="410" bestFit="1" customWidth="1"/>
    <col min="11273" max="11520" width="11.42578125" style="410"/>
    <col min="11521" max="11521" width="6.85546875" style="410" customWidth="1"/>
    <col min="11522" max="11522" width="22.7109375" style="410" bestFit="1" customWidth="1"/>
    <col min="11523" max="11523" width="14.28515625" style="410" customWidth="1"/>
    <col min="11524" max="11524" width="17.42578125" style="410" customWidth="1"/>
    <col min="11525" max="11525" width="19.85546875" style="410" customWidth="1"/>
    <col min="11526" max="11526" width="15" style="410" customWidth="1"/>
    <col min="11527" max="11528" width="12.7109375" style="410" bestFit="1" customWidth="1"/>
    <col min="11529" max="11776" width="11.42578125" style="410"/>
    <col min="11777" max="11777" width="6.85546875" style="410" customWidth="1"/>
    <col min="11778" max="11778" width="22.7109375" style="410" bestFit="1" customWidth="1"/>
    <col min="11779" max="11779" width="14.28515625" style="410" customWidth="1"/>
    <col min="11780" max="11780" width="17.42578125" style="410" customWidth="1"/>
    <col min="11781" max="11781" width="19.85546875" style="410" customWidth="1"/>
    <col min="11782" max="11782" width="15" style="410" customWidth="1"/>
    <col min="11783" max="11784" width="12.7109375" style="410" bestFit="1" customWidth="1"/>
    <col min="11785" max="12032" width="11.42578125" style="410"/>
    <col min="12033" max="12033" width="6.85546875" style="410" customWidth="1"/>
    <col min="12034" max="12034" width="22.7109375" style="410" bestFit="1" customWidth="1"/>
    <col min="12035" max="12035" width="14.28515625" style="410" customWidth="1"/>
    <col min="12036" max="12036" width="17.42578125" style="410" customWidth="1"/>
    <col min="12037" max="12037" width="19.85546875" style="410" customWidth="1"/>
    <col min="12038" max="12038" width="15" style="410" customWidth="1"/>
    <col min="12039" max="12040" width="12.7109375" style="410" bestFit="1" customWidth="1"/>
    <col min="12041" max="12288" width="11.42578125" style="410"/>
    <col min="12289" max="12289" width="6.85546875" style="410" customWidth="1"/>
    <col min="12290" max="12290" width="22.7109375" style="410" bestFit="1" customWidth="1"/>
    <col min="12291" max="12291" width="14.28515625" style="410" customWidth="1"/>
    <col min="12292" max="12292" width="17.42578125" style="410" customWidth="1"/>
    <col min="12293" max="12293" width="19.85546875" style="410" customWidth="1"/>
    <col min="12294" max="12294" width="15" style="410" customWidth="1"/>
    <col min="12295" max="12296" width="12.7109375" style="410" bestFit="1" customWidth="1"/>
    <col min="12297" max="12544" width="11.42578125" style="410"/>
    <col min="12545" max="12545" width="6.85546875" style="410" customWidth="1"/>
    <col min="12546" max="12546" width="22.7109375" style="410" bestFit="1" customWidth="1"/>
    <col min="12547" max="12547" width="14.28515625" style="410" customWidth="1"/>
    <col min="12548" max="12548" width="17.42578125" style="410" customWidth="1"/>
    <col min="12549" max="12549" width="19.85546875" style="410" customWidth="1"/>
    <col min="12550" max="12550" width="15" style="410" customWidth="1"/>
    <col min="12551" max="12552" width="12.7109375" style="410" bestFit="1" customWidth="1"/>
    <col min="12553" max="12800" width="11.42578125" style="410"/>
    <col min="12801" max="12801" width="6.85546875" style="410" customWidth="1"/>
    <col min="12802" max="12802" width="22.7109375" style="410" bestFit="1" customWidth="1"/>
    <col min="12803" max="12803" width="14.28515625" style="410" customWidth="1"/>
    <col min="12804" max="12804" width="17.42578125" style="410" customWidth="1"/>
    <col min="12805" max="12805" width="19.85546875" style="410" customWidth="1"/>
    <col min="12806" max="12806" width="15" style="410" customWidth="1"/>
    <col min="12807" max="12808" width="12.7109375" style="410" bestFit="1" customWidth="1"/>
    <col min="12809" max="13056" width="11.42578125" style="410"/>
    <col min="13057" max="13057" width="6.85546875" style="410" customWidth="1"/>
    <col min="13058" max="13058" width="22.7109375" style="410" bestFit="1" customWidth="1"/>
    <col min="13059" max="13059" width="14.28515625" style="410" customWidth="1"/>
    <col min="13060" max="13060" width="17.42578125" style="410" customWidth="1"/>
    <col min="13061" max="13061" width="19.85546875" style="410" customWidth="1"/>
    <col min="13062" max="13062" width="15" style="410" customWidth="1"/>
    <col min="13063" max="13064" width="12.7109375" style="410" bestFit="1" customWidth="1"/>
    <col min="13065" max="13312" width="11.42578125" style="410"/>
    <col min="13313" max="13313" width="6.85546875" style="410" customWidth="1"/>
    <col min="13314" max="13314" width="22.7109375" style="410" bestFit="1" customWidth="1"/>
    <col min="13315" max="13315" width="14.28515625" style="410" customWidth="1"/>
    <col min="13316" max="13316" width="17.42578125" style="410" customWidth="1"/>
    <col min="13317" max="13317" width="19.85546875" style="410" customWidth="1"/>
    <col min="13318" max="13318" width="15" style="410" customWidth="1"/>
    <col min="13319" max="13320" width="12.7109375" style="410" bestFit="1" customWidth="1"/>
    <col min="13321" max="13568" width="11.42578125" style="410"/>
    <col min="13569" max="13569" width="6.85546875" style="410" customWidth="1"/>
    <col min="13570" max="13570" width="22.7109375" style="410" bestFit="1" customWidth="1"/>
    <col min="13571" max="13571" width="14.28515625" style="410" customWidth="1"/>
    <col min="13572" max="13572" width="17.42578125" style="410" customWidth="1"/>
    <col min="13573" max="13573" width="19.85546875" style="410" customWidth="1"/>
    <col min="13574" max="13574" width="15" style="410" customWidth="1"/>
    <col min="13575" max="13576" width="12.7109375" style="410" bestFit="1" customWidth="1"/>
    <col min="13577" max="13824" width="11.42578125" style="410"/>
    <col min="13825" max="13825" width="6.85546875" style="410" customWidth="1"/>
    <col min="13826" max="13826" width="22.7109375" style="410" bestFit="1" customWidth="1"/>
    <col min="13827" max="13827" width="14.28515625" style="410" customWidth="1"/>
    <col min="13828" max="13828" width="17.42578125" style="410" customWidth="1"/>
    <col min="13829" max="13829" width="19.85546875" style="410" customWidth="1"/>
    <col min="13830" max="13830" width="15" style="410" customWidth="1"/>
    <col min="13831" max="13832" width="12.7109375" style="410" bestFit="1" customWidth="1"/>
    <col min="13833" max="14080" width="11.42578125" style="410"/>
    <col min="14081" max="14081" width="6.85546875" style="410" customWidth="1"/>
    <col min="14082" max="14082" width="22.7109375" style="410" bestFit="1" customWidth="1"/>
    <col min="14083" max="14083" width="14.28515625" style="410" customWidth="1"/>
    <col min="14084" max="14084" width="17.42578125" style="410" customWidth="1"/>
    <col min="14085" max="14085" width="19.85546875" style="410" customWidth="1"/>
    <col min="14086" max="14086" width="15" style="410" customWidth="1"/>
    <col min="14087" max="14088" width="12.7109375" style="410" bestFit="1" customWidth="1"/>
    <col min="14089" max="14336" width="11.42578125" style="410"/>
    <col min="14337" max="14337" width="6.85546875" style="410" customWidth="1"/>
    <col min="14338" max="14338" width="22.7109375" style="410" bestFit="1" customWidth="1"/>
    <col min="14339" max="14339" width="14.28515625" style="410" customWidth="1"/>
    <col min="14340" max="14340" width="17.42578125" style="410" customWidth="1"/>
    <col min="14341" max="14341" width="19.85546875" style="410" customWidth="1"/>
    <col min="14342" max="14342" width="15" style="410" customWidth="1"/>
    <col min="14343" max="14344" width="12.7109375" style="410" bestFit="1" customWidth="1"/>
    <col min="14345" max="14592" width="11.42578125" style="410"/>
    <col min="14593" max="14593" width="6.85546875" style="410" customWidth="1"/>
    <col min="14594" max="14594" width="22.7109375" style="410" bestFit="1" customWidth="1"/>
    <col min="14595" max="14595" width="14.28515625" style="410" customWidth="1"/>
    <col min="14596" max="14596" width="17.42578125" style="410" customWidth="1"/>
    <col min="14597" max="14597" width="19.85546875" style="410" customWidth="1"/>
    <col min="14598" max="14598" width="15" style="410" customWidth="1"/>
    <col min="14599" max="14600" width="12.7109375" style="410" bestFit="1" customWidth="1"/>
    <col min="14601" max="14848" width="11.42578125" style="410"/>
    <col min="14849" max="14849" width="6.85546875" style="410" customWidth="1"/>
    <col min="14850" max="14850" width="22.7109375" style="410" bestFit="1" customWidth="1"/>
    <col min="14851" max="14851" width="14.28515625" style="410" customWidth="1"/>
    <col min="14852" max="14852" width="17.42578125" style="410" customWidth="1"/>
    <col min="14853" max="14853" width="19.85546875" style="410" customWidth="1"/>
    <col min="14854" max="14854" width="15" style="410" customWidth="1"/>
    <col min="14855" max="14856" width="12.7109375" style="410" bestFit="1" customWidth="1"/>
    <col min="14857" max="15104" width="11.42578125" style="410"/>
    <col min="15105" max="15105" width="6.85546875" style="410" customWidth="1"/>
    <col min="15106" max="15106" width="22.7109375" style="410" bestFit="1" customWidth="1"/>
    <col min="15107" max="15107" width="14.28515625" style="410" customWidth="1"/>
    <col min="15108" max="15108" width="17.42578125" style="410" customWidth="1"/>
    <col min="15109" max="15109" width="19.85546875" style="410" customWidth="1"/>
    <col min="15110" max="15110" width="15" style="410" customWidth="1"/>
    <col min="15111" max="15112" width="12.7109375" style="410" bestFit="1" customWidth="1"/>
    <col min="15113" max="15360" width="11.42578125" style="410"/>
    <col min="15361" max="15361" width="6.85546875" style="410" customWidth="1"/>
    <col min="15362" max="15362" width="22.7109375" style="410" bestFit="1" customWidth="1"/>
    <col min="15363" max="15363" width="14.28515625" style="410" customWidth="1"/>
    <col min="15364" max="15364" width="17.42578125" style="410" customWidth="1"/>
    <col min="15365" max="15365" width="19.85546875" style="410" customWidth="1"/>
    <col min="15366" max="15366" width="15" style="410" customWidth="1"/>
    <col min="15367" max="15368" width="12.7109375" style="410" bestFit="1" customWidth="1"/>
    <col min="15369" max="15616" width="11.42578125" style="410"/>
    <col min="15617" max="15617" width="6.85546875" style="410" customWidth="1"/>
    <col min="15618" max="15618" width="22.7109375" style="410" bestFit="1" customWidth="1"/>
    <col min="15619" max="15619" width="14.28515625" style="410" customWidth="1"/>
    <col min="15620" max="15620" width="17.42578125" style="410" customWidth="1"/>
    <col min="15621" max="15621" width="19.85546875" style="410" customWidth="1"/>
    <col min="15622" max="15622" width="15" style="410" customWidth="1"/>
    <col min="15623" max="15624" width="12.7109375" style="410" bestFit="1" customWidth="1"/>
    <col min="15625" max="15872" width="11.42578125" style="410"/>
    <col min="15873" max="15873" width="6.85546875" style="410" customWidth="1"/>
    <col min="15874" max="15874" width="22.7109375" style="410" bestFit="1" customWidth="1"/>
    <col min="15875" max="15875" width="14.28515625" style="410" customWidth="1"/>
    <col min="15876" max="15876" width="17.42578125" style="410" customWidth="1"/>
    <col min="15877" max="15877" width="19.85546875" style="410" customWidth="1"/>
    <col min="15878" max="15878" width="15" style="410" customWidth="1"/>
    <col min="15879" max="15880" width="12.7109375" style="410" bestFit="1" customWidth="1"/>
    <col min="15881" max="16128" width="11.42578125" style="410"/>
    <col min="16129" max="16129" width="6.85546875" style="410" customWidth="1"/>
    <col min="16130" max="16130" width="22.7109375" style="410" bestFit="1" customWidth="1"/>
    <col min="16131" max="16131" width="14.28515625" style="410" customWidth="1"/>
    <col min="16132" max="16132" width="17.42578125" style="410" customWidth="1"/>
    <col min="16133" max="16133" width="19.85546875" style="410" customWidth="1"/>
    <col min="16134" max="16134" width="15" style="410" customWidth="1"/>
    <col min="16135" max="16136" width="12.7109375" style="410" bestFit="1" customWidth="1"/>
    <col min="16137" max="16384" width="11.42578125" style="410"/>
  </cols>
  <sheetData>
    <row r="2" spans="2:8">
      <c r="B2" s="432" t="s">
        <v>284</v>
      </c>
    </row>
    <row r="3" spans="2:8" ht="13.5" thickBot="1">
      <c r="G3" s="414"/>
    </row>
    <row r="4" spans="2:8" ht="13.5" thickBot="1">
      <c r="B4" s="452" t="s">
        <v>284</v>
      </c>
      <c r="C4" s="453"/>
    </row>
    <row r="5" spans="2:8">
      <c r="B5" s="454" t="s">
        <v>285</v>
      </c>
      <c r="C5" s="455">
        <v>5000</v>
      </c>
      <c r="G5" s="456" t="str">
        <f>IF(F4=C33,1,IF(F4=D33,2,IF(F4=E33,3,IF(F4=F33,4,IF(F4=G33,5,IF(F4=H33,6,""))))))</f>
        <v/>
      </c>
    </row>
    <row r="6" spans="2:8">
      <c r="B6" s="457" t="s">
        <v>286</v>
      </c>
      <c r="C6" s="458">
        <v>1</v>
      </c>
      <c r="G6" s="414"/>
    </row>
    <row r="7" spans="2:8" ht="13.5" thickBot="1">
      <c r="B7" s="459" t="s">
        <v>287</v>
      </c>
      <c r="C7" s="460">
        <v>1000</v>
      </c>
    </row>
    <row r="10" spans="2:8" ht="13.5" thickBot="1"/>
    <row r="11" spans="2:8" ht="13.5" thickBot="1">
      <c r="B11" s="461" t="s">
        <v>275</v>
      </c>
      <c r="C11" s="462" t="s">
        <v>288</v>
      </c>
      <c r="D11" s="462" t="s">
        <v>266</v>
      </c>
      <c r="E11" s="462" t="s">
        <v>267</v>
      </c>
      <c r="F11" s="462" t="s">
        <v>268</v>
      </c>
      <c r="G11" s="462" t="s">
        <v>269</v>
      </c>
      <c r="H11" s="463" t="s">
        <v>283</v>
      </c>
    </row>
    <row r="12" spans="2:8">
      <c r="B12" s="464" t="s">
        <v>289</v>
      </c>
      <c r="C12" s="465">
        <f>C5</f>
        <v>5000</v>
      </c>
      <c r="D12" s="466">
        <f>'I +D'!C12</f>
        <v>25000.000000000022</v>
      </c>
      <c r="E12" s="466">
        <f>'I +D'!D12</f>
        <v>18928.571428571442</v>
      </c>
      <c r="F12" s="466">
        <f>'I +D'!E12</f>
        <v>28392.857142857163</v>
      </c>
      <c r="G12" s="466">
        <f>'I +D'!F12</f>
        <v>30000.000000000022</v>
      </c>
      <c r="H12" s="467">
        <f>'I +D'!C3</f>
        <v>493277.2</v>
      </c>
    </row>
    <row r="13" spans="2:8">
      <c r="B13" s="468" t="s">
        <v>290</v>
      </c>
      <c r="C13" s="469"/>
      <c r="D13" s="470">
        <f>'I +D'!C24</f>
        <v>54538.033876418624</v>
      </c>
      <c r="E13" s="470">
        <f>'I +D'!D24</f>
        <v>178165.19588317772</v>
      </c>
      <c r="F13" s="470">
        <f>'I +D'!F24</f>
        <v>412057.36952643027</v>
      </c>
      <c r="G13" s="470">
        <f>'I +D'!H24</f>
        <v>789286.80619136326</v>
      </c>
      <c r="H13" s="471">
        <f>'I +D'!C4</f>
        <v>1147001.5286679086</v>
      </c>
    </row>
    <row r="14" spans="2:8" ht="13.5" thickBot="1">
      <c r="B14" s="472" t="s">
        <v>270</v>
      </c>
      <c r="C14" s="473">
        <f>C6</f>
        <v>1</v>
      </c>
      <c r="D14" s="474">
        <f>'I +D'!C9</f>
        <v>1</v>
      </c>
      <c r="E14" s="474">
        <f>'I +D'!D9</f>
        <v>2</v>
      </c>
      <c r="F14" s="474">
        <f>'I +D'!E9</f>
        <v>2</v>
      </c>
      <c r="G14" s="474">
        <f>'I +D'!F9</f>
        <v>1</v>
      </c>
      <c r="H14" s="475"/>
    </row>
    <row r="16" spans="2:8" ht="13.5" thickBot="1">
      <c r="E16" s="417"/>
    </row>
    <row r="17" spans="2:9" ht="13.5" thickBot="1">
      <c r="B17" s="476"/>
      <c r="C17" s="477" t="s">
        <v>291</v>
      </c>
      <c r="D17" s="478"/>
      <c r="E17" s="478"/>
      <c r="F17" s="479"/>
      <c r="G17" s="476"/>
      <c r="H17" s="476"/>
    </row>
    <row r="18" spans="2:9" ht="13.5" thickBot="1">
      <c r="B18" s="476"/>
      <c r="C18" s="476"/>
      <c r="D18" s="476"/>
      <c r="E18" s="476"/>
      <c r="F18" s="476"/>
      <c r="G18" s="476"/>
      <c r="H18" s="476"/>
    </row>
    <row r="19" spans="2:9" ht="38.25">
      <c r="B19" s="480" t="s">
        <v>292</v>
      </c>
      <c r="C19" s="481" t="s">
        <v>293</v>
      </c>
      <c r="D19" s="481" t="s">
        <v>294</v>
      </c>
      <c r="E19" s="481" t="s">
        <v>295</v>
      </c>
      <c r="F19" s="481" t="s">
        <v>296</v>
      </c>
      <c r="G19" s="482" t="s">
        <v>297</v>
      </c>
    </row>
    <row r="20" spans="2:9">
      <c r="B20" s="483" t="s">
        <v>298</v>
      </c>
      <c r="C20" s="484">
        <f>C12</f>
        <v>5000</v>
      </c>
      <c r="D20" s="484">
        <f>D13</f>
        <v>54538.033876418624</v>
      </c>
      <c r="E20" s="485">
        <f>D20/C20</f>
        <v>10.907606775283725</v>
      </c>
      <c r="F20" s="484">
        <f>D12</f>
        <v>25000.000000000022</v>
      </c>
      <c r="G20" s="486">
        <f>+D20+F20</f>
        <v>79538.033876418645</v>
      </c>
    </row>
    <row r="21" spans="2:9">
      <c r="B21" s="483" t="s">
        <v>299</v>
      </c>
      <c r="C21" s="484">
        <f>C20+F20</f>
        <v>30000.000000000022</v>
      </c>
      <c r="D21" s="484">
        <f>E13</f>
        <v>178165.19588317772</v>
      </c>
      <c r="E21" s="485">
        <f>D21/C21</f>
        <v>5.9388398627725865</v>
      </c>
      <c r="F21" s="484">
        <f>E12</f>
        <v>18928.571428571442</v>
      </c>
      <c r="G21" s="486">
        <f>+D21+F21</f>
        <v>197093.76731174916</v>
      </c>
    </row>
    <row r="22" spans="2:9">
      <c r="B22" s="483" t="s">
        <v>300</v>
      </c>
      <c r="C22" s="484">
        <f>C21+F21</f>
        <v>48928.571428571464</v>
      </c>
      <c r="D22" s="484">
        <f>F13</f>
        <v>412057.36952643027</v>
      </c>
      <c r="E22" s="485">
        <f>D22/C22</f>
        <v>8.4216104720730218</v>
      </c>
      <c r="F22" s="484">
        <f>F12</f>
        <v>28392.857142857163</v>
      </c>
      <c r="G22" s="486">
        <f>+D22+F22</f>
        <v>440450.22666928743</v>
      </c>
    </row>
    <row r="23" spans="2:9">
      <c r="B23" s="483" t="s">
        <v>301</v>
      </c>
      <c r="C23" s="484">
        <f>C22+F22</f>
        <v>77321.428571428623</v>
      </c>
      <c r="D23" s="484">
        <f>G13</f>
        <v>789286.80619136326</v>
      </c>
      <c r="E23" s="485">
        <f>D23/C23</f>
        <v>10.207866315638871</v>
      </c>
      <c r="F23" s="484">
        <f>G12</f>
        <v>30000.000000000022</v>
      </c>
      <c r="G23" s="486">
        <f>+D23+F23</f>
        <v>819286.80619136326</v>
      </c>
    </row>
    <row r="24" spans="2:9" ht="13.5" thickBot="1">
      <c r="B24" s="487" t="s">
        <v>302</v>
      </c>
      <c r="C24" s="488">
        <f>C23+F23</f>
        <v>107321.42857142864</v>
      </c>
      <c r="D24" s="488">
        <f>H13</f>
        <v>1147001.5286679086</v>
      </c>
      <c r="E24" s="489">
        <f>D24/C24</f>
        <v>10.687535042496313</v>
      </c>
      <c r="F24" s="488">
        <f>H12</f>
        <v>493277.2</v>
      </c>
      <c r="G24" s="490">
        <f>+D24+F24</f>
        <v>1640278.7286679086</v>
      </c>
    </row>
    <row r="25" spans="2:9" ht="13.5" thickBot="1">
      <c r="B25" s="476"/>
      <c r="C25" s="476"/>
      <c r="D25" s="476"/>
      <c r="E25" s="476"/>
      <c r="F25" s="476"/>
      <c r="G25" s="476"/>
      <c r="H25" s="476"/>
    </row>
    <row r="26" spans="2:9" ht="25.5">
      <c r="B26" s="480" t="s">
        <v>303</v>
      </c>
      <c r="C26" s="481" t="s">
        <v>304</v>
      </c>
      <c r="D26" s="481" t="s">
        <v>305</v>
      </c>
      <c r="E26" s="481" t="s">
        <v>306</v>
      </c>
      <c r="F26" s="481" t="s">
        <v>307</v>
      </c>
      <c r="G26" s="481" t="s">
        <v>308</v>
      </c>
      <c r="H26" s="482" t="s">
        <v>309</v>
      </c>
    </row>
    <row r="27" spans="2:9">
      <c r="B27" s="483" t="str">
        <f>B20</f>
        <v>Ronda 1</v>
      </c>
      <c r="C27" s="491">
        <f>D20/G20</f>
        <v>0.68568496376408428</v>
      </c>
      <c r="D27" s="491">
        <f>1-C27</f>
        <v>0.31431503623591572</v>
      </c>
      <c r="E27" s="491"/>
      <c r="F27" s="491"/>
      <c r="G27" s="491"/>
      <c r="H27" s="492"/>
      <c r="I27" s="493"/>
    </row>
    <row r="28" spans="2:9">
      <c r="B28" s="483" t="str">
        <f>B21</f>
        <v>Ronda 2</v>
      </c>
      <c r="C28" s="491">
        <f>C27*(1-$E$28)</f>
        <v>0.61983287218791305</v>
      </c>
      <c r="D28" s="491">
        <f>D27*(1-$E$28)</f>
        <v>0.28412872088148344</v>
      </c>
      <c r="E28" s="491">
        <f>F21/G21</f>
        <v>9.603840693060349E-2</v>
      </c>
      <c r="F28" s="491"/>
      <c r="G28" s="491"/>
      <c r="H28" s="492"/>
      <c r="I28" s="493"/>
    </row>
    <row r="29" spans="2:9">
      <c r="B29" s="483" t="str">
        <f>B22</f>
        <v>Ronda 3</v>
      </c>
      <c r="C29" s="491">
        <f>+C28*(1-$F$29)</f>
        <v>0.57987642506433745</v>
      </c>
      <c r="D29" s="491">
        <f>+D28*(1-$F$29)</f>
        <v>0.26581285749057187</v>
      </c>
      <c r="E29" s="491">
        <f>+E28*(1-$F$29)</f>
        <v>8.9847458207910166E-2</v>
      </c>
      <c r="F29" s="491">
        <f>F22/G22</f>
        <v>6.4463259237180451E-2</v>
      </c>
      <c r="G29" s="491" t="s">
        <v>310</v>
      </c>
      <c r="H29" s="492"/>
      <c r="I29" s="493"/>
    </row>
    <row r="30" spans="2:9">
      <c r="B30" s="483" t="str">
        <f>B23</f>
        <v>Ronda 4</v>
      </c>
      <c r="C30" s="491">
        <f>+C29*(1-$G$30)</f>
        <v>0.55864296613339159</v>
      </c>
      <c r="D30" s="491">
        <f>+D29*(1-$G$30)</f>
        <v>0.25607953130436384</v>
      </c>
      <c r="E30" s="491">
        <f>+E29*(1-$G$30)</f>
        <v>8.6557494637316879E-2</v>
      </c>
      <c r="F30" s="491">
        <f>+F29*(1-$G$30)</f>
        <v>6.2102794302921878E-2</v>
      </c>
      <c r="G30" s="491">
        <f>F23/G23</f>
        <v>3.6617213622005811E-2</v>
      </c>
      <c r="H30" s="492"/>
      <c r="I30" s="493"/>
    </row>
    <row r="31" spans="2:9" ht="13.5" thickBot="1">
      <c r="B31" s="487" t="str">
        <f>B24</f>
        <v>Ronda 5</v>
      </c>
      <c r="C31" s="494">
        <f>+C30*(1-$H$31)</f>
        <v>0.39064356864210981</v>
      </c>
      <c r="D31" s="494">
        <f>+D30*(1-$H$31)</f>
        <v>0.17906933055530358</v>
      </c>
      <c r="E31" s="494">
        <f>+E30*(1-$H$31)</f>
        <v>6.052726096575952E-2</v>
      </c>
      <c r="F31" s="494">
        <f>+F30*(1-$H$31)</f>
        <v>4.3426765680152725E-2</v>
      </c>
      <c r="G31" s="494">
        <f>+G30*(1-$H$31)</f>
        <v>2.560540429254287E-2</v>
      </c>
      <c r="H31" s="495">
        <f>F24/G24</f>
        <v>0.30072766986413141</v>
      </c>
      <c r="I31" s="493"/>
    </row>
    <row r="32" spans="2:9" ht="13.5" thickBot="1">
      <c r="B32" s="476"/>
      <c r="C32" s="476"/>
      <c r="D32" s="476"/>
      <c r="E32" s="476"/>
      <c r="F32" s="476"/>
      <c r="G32" s="476"/>
      <c r="H32" s="476"/>
    </row>
    <row r="33" spans="2:8" ht="25.5">
      <c r="B33" s="480" t="s">
        <v>303</v>
      </c>
      <c r="C33" s="481" t="str">
        <f t="shared" ref="C33:H33" si="0">C26</f>
        <v>Fundadores</v>
      </c>
      <c r="D33" s="481" t="str">
        <f t="shared" si="0"/>
        <v>Inversores de Ronda 1</v>
      </c>
      <c r="E33" s="481" t="str">
        <f t="shared" si="0"/>
        <v>Inversores de Ronda 2</v>
      </c>
      <c r="F33" s="481" t="str">
        <f t="shared" si="0"/>
        <v>Inversores de Ronda 3</v>
      </c>
      <c r="G33" s="481" t="str">
        <f t="shared" si="0"/>
        <v>Inversores de Ronda 4</v>
      </c>
      <c r="H33" s="482" t="str">
        <f t="shared" si="0"/>
        <v>Inversores de Ronda 5</v>
      </c>
    </row>
    <row r="34" spans="2:8">
      <c r="B34" s="496" t="s">
        <v>311</v>
      </c>
      <c r="C34" s="484">
        <f t="shared" ref="C34:H34" si="1">C31*$G$24</f>
        <v>640764.33613457473</v>
      </c>
      <c r="D34" s="484">
        <f t="shared" si="1"/>
        <v>293723.61386666686</v>
      </c>
      <c r="E34" s="484">
        <f t="shared" si="1"/>
        <v>99281.578666666755</v>
      </c>
      <c r="F34" s="484">
        <f t="shared" si="1"/>
        <v>71232.000000000073</v>
      </c>
      <c r="G34" s="484">
        <f t="shared" si="1"/>
        <v>42000.000000000029</v>
      </c>
      <c r="H34" s="486">
        <f t="shared" si="1"/>
        <v>493277.2</v>
      </c>
    </row>
    <row r="35" spans="2:8">
      <c r="B35" s="496" t="s">
        <v>252</v>
      </c>
      <c r="C35" s="484">
        <f t="shared" ref="C35:H35" si="2">C12</f>
        <v>5000</v>
      </c>
      <c r="D35" s="484">
        <f t="shared" si="2"/>
        <v>25000.000000000022</v>
      </c>
      <c r="E35" s="484">
        <f t="shared" si="2"/>
        <v>18928.571428571442</v>
      </c>
      <c r="F35" s="484">
        <f t="shared" si="2"/>
        <v>28392.857142857163</v>
      </c>
      <c r="G35" s="484">
        <f t="shared" si="2"/>
        <v>30000.000000000022</v>
      </c>
      <c r="H35" s="486">
        <f t="shared" si="2"/>
        <v>493277.2</v>
      </c>
    </row>
    <row r="36" spans="2:8">
      <c r="B36" s="496" t="s">
        <v>312</v>
      </c>
      <c r="C36" s="484">
        <f>C34-C35</f>
        <v>635764.33613457473</v>
      </c>
      <c r="D36" s="484">
        <f>D34-D35</f>
        <v>268723.61386666686</v>
      </c>
      <c r="E36" s="484">
        <f>E34-E35</f>
        <v>80353.007238095306</v>
      </c>
      <c r="F36" s="484">
        <f>F34-F35</f>
        <v>42839.142857142913</v>
      </c>
      <c r="G36" s="484">
        <f>G34-G35</f>
        <v>12000.000000000007</v>
      </c>
      <c r="H36" s="486"/>
    </row>
    <row r="37" spans="2:8">
      <c r="B37" s="496" t="s">
        <v>313</v>
      </c>
      <c r="C37" s="497">
        <f>C36/C35</f>
        <v>127.15286722691495</v>
      </c>
      <c r="D37" s="497">
        <f>D36/D35</f>
        <v>10.748944554666664</v>
      </c>
      <c r="E37" s="497">
        <f>E36/E35</f>
        <v>4.2450645333333341</v>
      </c>
      <c r="F37" s="497">
        <f>F36/F35</f>
        <v>1.5088000000000008</v>
      </c>
      <c r="G37" s="497">
        <f>G36/G35</f>
        <v>0.39999999999999997</v>
      </c>
      <c r="H37" s="498"/>
    </row>
    <row r="38" spans="2:8">
      <c r="B38" s="496" t="s">
        <v>314</v>
      </c>
      <c r="C38" s="499">
        <f>D38+C14</f>
        <v>7</v>
      </c>
      <c r="D38" s="499">
        <f>E38+D14</f>
        <v>6</v>
      </c>
      <c r="E38" s="499">
        <f>F38+E14</f>
        <v>5</v>
      </c>
      <c r="F38" s="499">
        <f>G38+F14</f>
        <v>3</v>
      </c>
      <c r="G38" s="499">
        <f>H38+G14</f>
        <v>1</v>
      </c>
      <c r="H38" s="500"/>
    </row>
    <row r="39" spans="2:8" ht="13.5" thickBot="1">
      <c r="B39" s="501" t="s">
        <v>315</v>
      </c>
      <c r="C39" s="502">
        <f>EXP(LN(C34/C35)/C38)-1</f>
        <v>1.0003410469695027</v>
      </c>
      <c r="D39" s="502">
        <f>EXP(LN(D34/D35)/D38)-1</f>
        <v>0.50776321079429221</v>
      </c>
      <c r="E39" s="502">
        <f>EXP(LN(E34/E35)/E38)-1</f>
        <v>0.39299695534150514</v>
      </c>
      <c r="F39" s="502">
        <f>EXP(LN(F34/F35)/F38)-1</f>
        <v>0.3587994017934486</v>
      </c>
      <c r="G39" s="502">
        <f>EXP(LN(G34/G35)/G38)-1</f>
        <v>0.39999999999999991</v>
      </c>
      <c r="H39" s="503"/>
    </row>
    <row r="40" spans="2:8" ht="13.5" thickBot="1">
      <c r="B40" s="476"/>
      <c r="C40" s="476" t="s">
        <v>310</v>
      </c>
      <c r="D40" s="476" t="s">
        <v>310</v>
      </c>
      <c r="E40" s="476" t="s">
        <v>310</v>
      </c>
      <c r="F40" s="476" t="s">
        <v>310</v>
      </c>
      <c r="G40" s="476" t="s">
        <v>310</v>
      </c>
      <c r="H40" s="476" t="s">
        <v>310</v>
      </c>
    </row>
    <row r="41" spans="2:8" ht="51">
      <c r="B41" s="480" t="s">
        <v>287</v>
      </c>
      <c r="C41" s="481" t="s">
        <v>316</v>
      </c>
      <c r="D41" s="481" t="s">
        <v>317</v>
      </c>
      <c r="E41" s="481" t="s">
        <v>318</v>
      </c>
      <c r="F41" s="481" t="s">
        <v>319</v>
      </c>
      <c r="G41" s="481" t="s">
        <v>320</v>
      </c>
      <c r="H41" s="482" t="s">
        <v>321</v>
      </c>
    </row>
    <row r="42" spans="2:8">
      <c r="B42" s="483" t="str">
        <f>B27</f>
        <v>Ronda 1</v>
      </c>
      <c r="C42" s="484">
        <f>D20</f>
        <v>54538.033876418624</v>
      </c>
      <c r="D42" s="484">
        <f>G20</f>
        <v>79538.033876418645</v>
      </c>
      <c r="E42" s="485">
        <f>C7</f>
        <v>1000</v>
      </c>
      <c r="F42" s="499">
        <f t="shared" ref="F42:G46" si="3">C42/E42</f>
        <v>54.538033876418623</v>
      </c>
      <c r="G42" s="485">
        <f t="shared" si="3"/>
        <v>1458.3956960503783</v>
      </c>
      <c r="H42" s="486">
        <f>F42*(G42-E42)</f>
        <v>25000.000000000029</v>
      </c>
    </row>
    <row r="43" spans="2:8">
      <c r="B43" s="483" t="str">
        <f>B28</f>
        <v>Ronda 2</v>
      </c>
      <c r="C43" s="484">
        <f>D21</f>
        <v>178165.19588317772</v>
      </c>
      <c r="D43" s="484">
        <f>G21</f>
        <v>197093.76731174916</v>
      </c>
      <c r="E43" s="485">
        <f>G42</f>
        <v>1458.3956960503783</v>
      </c>
      <c r="F43" s="499">
        <f t="shared" si="3"/>
        <v>122.16519588317767</v>
      </c>
      <c r="G43" s="485">
        <f t="shared" si="3"/>
        <v>1613.3381188225087</v>
      </c>
      <c r="H43" s="486">
        <f>F43*(G43-E43)</f>
        <v>18928.571428571438</v>
      </c>
    </row>
    <row r="44" spans="2:8">
      <c r="B44" s="483" t="str">
        <f>B29</f>
        <v>Ronda 3</v>
      </c>
      <c r="C44" s="484">
        <f>D22</f>
        <v>412057.36952643027</v>
      </c>
      <c r="D44" s="484">
        <f>G22</f>
        <v>440450.22666928743</v>
      </c>
      <c r="E44" s="485">
        <f>G43</f>
        <v>1613.3381188225087</v>
      </c>
      <c r="F44" s="499">
        <f t="shared" si="3"/>
        <v>255.40670285976347</v>
      </c>
      <c r="G44" s="485">
        <f t="shared" si="3"/>
        <v>1724.5053545486865</v>
      </c>
      <c r="H44" s="486">
        <f>F44*(G44-E44)</f>
        <v>28392.857142857163</v>
      </c>
    </row>
    <row r="45" spans="2:8">
      <c r="B45" s="483" t="str">
        <f>B30</f>
        <v>Ronda 4</v>
      </c>
      <c r="C45" s="484">
        <f>D23</f>
        <v>789286.80619136326</v>
      </c>
      <c r="D45" s="484">
        <f>G23</f>
        <v>819286.80619136326</v>
      </c>
      <c r="E45" s="485">
        <f>G44</f>
        <v>1724.5053545486865</v>
      </c>
      <c r="F45" s="499">
        <f t="shared" si="3"/>
        <v>457.68881152469623</v>
      </c>
      <c r="G45" s="485">
        <f t="shared" si="3"/>
        <v>1790.0520737268573</v>
      </c>
      <c r="H45" s="486">
        <f>F45*(G45-E45)</f>
        <v>30000.000000000036</v>
      </c>
    </row>
    <row r="46" spans="2:8" ht="13.5" thickBot="1">
      <c r="B46" s="487" t="str">
        <f>B31</f>
        <v>Ronda 5</v>
      </c>
      <c r="C46" s="488">
        <f>D24</f>
        <v>1147001.5286679086</v>
      </c>
      <c r="D46" s="488">
        <f>G24</f>
        <v>1640278.7286679086</v>
      </c>
      <c r="E46" s="489">
        <f>G45</f>
        <v>1790.0520737268573</v>
      </c>
      <c r="F46" s="504">
        <f t="shared" si="3"/>
        <v>640.76433613457482</v>
      </c>
      <c r="G46" s="489">
        <f t="shared" si="3"/>
        <v>2559.8783143314854</v>
      </c>
      <c r="H46" s="490">
        <f>F46*(G46-E46)</f>
        <v>493277.19999999995</v>
      </c>
    </row>
    <row r="47" spans="2:8">
      <c r="B47" s="476"/>
      <c r="C47" s="476"/>
      <c r="D47" s="476"/>
      <c r="E47" s="476"/>
      <c r="F47" s="476"/>
      <c r="G47" s="476"/>
      <c r="H47" s="476"/>
    </row>
    <row r="48" spans="2:8">
      <c r="B48" s="476"/>
      <c r="C48" s="476"/>
      <c r="D48" s="476"/>
      <c r="E48" s="476"/>
      <c r="F48" s="476"/>
      <c r="G48" s="476"/>
      <c r="H48" s="476"/>
    </row>
    <row r="49" spans="2:8">
      <c r="B49" s="476"/>
      <c r="C49" s="476"/>
      <c r="D49" s="476"/>
      <c r="E49" s="476"/>
      <c r="F49" s="476"/>
      <c r="G49" s="476"/>
      <c r="H49" s="476"/>
    </row>
    <row r="50" spans="2:8">
      <c r="B50" s="476"/>
      <c r="C50" s="476"/>
      <c r="D50" s="476"/>
      <c r="E50" s="476"/>
      <c r="F50" s="476"/>
      <c r="G50" s="476"/>
      <c r="H50" s="476"/>
    </row>
    <row r="51" spans="2:8">
      <c r="B51" s="476"/>
      <c r="C51" s="476"/>
      <c r="D51" s="476"/>
      <c r="E51" s="476"/>
      <c r="F51" s="476"/>
      <c r="G51" s="476"/>
      <c r="H51" s="476"/>
    </row>
    <row r="52" spans="2:8">
      <c r="B52" s="476"/>
      <c r="C52" s="476"/>
      <c r="D52" s="476"/>
      <c r="E52" s="476"/>
      <c r="F52" s="476"/>
      <c r="G52" s="476"/>
      <c r="H52" s="476"/>
    </row>
    <row r="53" spans="2:8">
      <c r="B53" s="476"/>
      <c r="C53" s="476"/>
      <c r="D53" s="476"/>
      <c r="E53" s="476"/>
      <c r="F53" s="476"/>
      <c r="G53" s="476"/>
      <c r="H53" s="476"/>
    </row>
    <row r="54" spans="2:8">
      <c r="B54" s="476"/>
      <c r="C54" s="476"/>
      <c r="D54" s="476"/>
      <c r="E54" s="476"/>
      <c r="F54" s="476"/>
      <c r="G54" s="476"/>
      <c r="H54" s="476"/>
    </row>
    <row r="55" spans="2:8">
      <c r="B55" s="476"/>
      <c r="C55" s="476"/>
      <c r="D55" s="476"/>
      <c r="E55" s="476"/>
      <c r="F55" s="476"/>
      <c r="G55" s="476"/>
      <c r="H55" s="476"/>
    </row>
    <row r="56" spans="2:8">
      <c r="B56" s="476"/>
      <c r="C56" s="476"/>
      <c r="D56" s="476"/>
      <c r="E56" s="476"/>
      <c r="F56" s="476"/>
      <c r="G56" s="476"/>
      <c r="H56" s="476"/>
    </row>
    <row r="57" spans="2:8">
      <c r="B57" s="476"/>
      <c r="C57" s="476"/>
      <c r="D57" s="476"/>
      <c r="E57" s="476"/>
      <c r="F57" s="476"/>
      <c r="G57" s="476"/>
      <c r="H57" s="476"/>
    </row>
    <row r="58" spans="2:8">
      <c r="B58" s="476"/>
      <c r="C58" s="476"/>
      <c r="D58" s="476"/>
      <c r="E58" s="476"/>
      <c r="F58" s="476"/>
      <c r="G58" s="476"/>
      <c r="H58" s="476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>
    <pageSetUpPr autoPageBreaks="0"/>
  </sheetPr>
  <dimension ref="A1:CY74"/>
  <sheetViews>
    <sheetView showGridLines="0" workbookViewId="0">
      <pane xSplit="2" ySplit="3" topLeftCell="C22" activePane="bottomRight" state="frozen"/>
      <selection pane="topRight"/>
      <selection pane="bottomLeft"/>
      <selection pane="bottomRight" activeCell="C13" sqref="C13"/>
    </sheetView>
  </sheetViews>
  <sheetFormatPr baseColWidth="10" defaultColWidth="24.28515625" defaultRowHeight="12.75"/>
  <cols>
    <col min="1" max="1" width="5" style="3" customWidth="1"/>
    <col min="2" max="2" width="22.42578125" style="3" customWidth="1"/>
    <col min="3" max="3" width="11.140625" style="1" customWidth="1"/>
    <col min="4" max="4" width="6.5703125" style="3" bestFit="1" customWidth="1"/>
    <col min="5" max="5" width="7.85546875" style="3" customWidth="1"/>
    <col min="6" max="6" width="6.5703125" customWidth="1"/>
    <col min="7" max="7" width="11.7109375" customWidth="1"/>
    <col min="8" max="8" width="8.85546875" customWidth="1"/>
    <col min="9" max="9" width="6.85546875" style="13" customWidth="1"/>
    <col min="10" max="12" width="7.140625" style="3" customWidth="1"/>
    <col min="13" max="13" width="7.85546875" style="3" customWidth="1"/>
    <col min="14" max="15" width="7.140625" style="3" customWidth="1"/>
    <col min="16" max="16" width="7.5703125" style="3" customWidth="1"/>
    <col min="17" max="17" width="3.85546875" style="15" customWidth="1"/>
    <col min="18" max="72" width="8" style="3" customWidth="1"/>
    <col min="73" max="16384" width="24.28515625" style="3"/>
  </cols>
  <sheetData>
    <row r="1" spans="1:103" ht="13.5" thickBot="1">
      <c r="G1" s="149"/>
      <c r="I1" s="7"/>
    </row>
    <row r="2" spans="1:103" s="13" customFormat="1">
      <c r="A2" s="3"/>
      <c r="B2" s="309"/>
      <c r="C2" s="231"/>
      <c r="D2" s="232"/>
      <c r="E2" s="232"/>
      <c r="F2" s="232"/>
      <c r="G2" s="314" t="s">
        <v>46</v>
      </c>
      <c r="H2" s="315">
        <f>ESCENARIOS!C6</f>
        <v>1</v>
      </c>
      <c r="I2" s="7"/>
      <c r="J2" s="76"/>
      <c r="K2" s="79" t="s">
        <v>137</v>
      </c>
      <c r="L2" s="77"/>
      <c r="M2" s="77"/>
      <c r="N2" s="77"/>
      <c r="O2" s="77"/>
      <c r="P2" s="80"/>
      <c r="Q2" s="15"/>
    </row>
    <row r="3" spans="1:103" s="13" customFormat="1" ht="11.25">
      <c r="A3" s="3"/>
      <c r="B3" s="81" t="str">
        <f>ESCENARIOS!C5</f>
        <v>Escenario  Base</v>
      </c>
      <c r="C3" s="207" t="s">
        <v>47</v>
      </c>
      <c r="D3" s="207" t="s">
        <v>45</v>
      </c>
      <c r="E3" s="207" t="s">
        <v>50</v>
      </c>
      <c r="F3" s="207" t="s">
        <v>93</v>
      </c>
      <c r="G3" s="27" t="s">
        <v>49</v>
      </c>
      <c r="H3" s="316" t="s">
        <v>93</v>
      </c>
      <c r="I3" s="7"/>
      <c r="J3" s="234">
        <v>1</v>
      </c>
      <c r="K3" s="233">
        <f t="shared" ref="K3:P3" si="0">J3+1</f>
        <v>2</v>
      </c>
      <c r="L3" s="233">
        <f t="shared" si="0"/>
        <v>3</v>
      </c>
      <c r="M3" s="233">
        <f t="shared" si="0"/>
        <v>4</v>
      </c>
      <c r="N3" s="219">
        <f t="shared" si="0"/>
        <v>5</v>
      </c>
      <c r="O3" s="233">
        <f t="shared" si="0"/>
        <v>6</v>
      </c>
      <c r="P3" s="235">
        <f t="shared" si="0"/>
        <v>7</v>
      </c>
      <c r="Q3" s="15"/>
    </row>
    <row r="4" spans="1:103" s="17" customFormat="1" ht="11.25">
      <c r="A4" s="3"/>
      <c r="B4" s="81" t="s">
        <v>145</v>
      </c>
      <c r="C4" s="25"/>
      <c r="D4" s="25"/>
      <c r="E4" s="25"/>
      <c r="F4" s="25"/>
      <c r="G4" s="25"/>
      <c r="H4" s="170"/>
      <c r="I4" s="7"/>
      <c r="J4" s="84"/>
      <c r="K4" s="15"/>
      <c r="L4" s="15"/>
      <c r="M4" s="15"/>
      <c r="N4" s="15"/>
      <c r="O4" s="15"/>
      <c r="P4" s="225"/>
      <c r="Q4" s="7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</row>
    <row r="5" spans="1:103" s="7" customFormat="1" ht="11.25">
      <c r="A5" s="224"/>
      <c r="B5" s="317" t="str">
        <f>INPUTS!B11</f>
        <v>Inmv. Tang 1</v>
      </c>
      <c r="C5" s="258">
        <f>INPUTS!C11</f>
        <v>50000</v>
      </c>
      <c r="D5" s="258">
        <f>INPUTS!D11</f>
        <v>1</v>
      </c>
      <c r="E5" s="272">
        <f>INPUTS!E11</f>
        <v>0.22</v>
      </c>
      <c r="F5" s="272">
        <f>INPUTS!F11</f>
        <v>0.05</v>
      </c>
      <c r="G5" s="49">
        <f>C5*$H$2*(1+INPUTS!$C$4)^(D5-1)</f>
        <v>50000</v>
      </c>
      <c r="H5" s="318">
        <f t="shared" ref="H5:H24" si="1">G5*F5</f>
        <v>2500</v>
      </c>
      <c r="J5" s="218">
        <f>IF(D5&gt;$J$3,0,E5*G5)</f>
        <v>11000</v>
      </c>
      <c r="K5" s="35">
        <f>IF($D5&gt;K$3,0,IF($E5*$G5&lt;$G5-SUM($J5:J5),$E5*$G5,$G5-SUM($J5:J5)))</f>
        <v>11000</v>
      </c>
      <c r="L5" s="35">
        <f>IF($D5&gt;L$3,0,IF($E5*$G5&lt;$G5-SUM($J5:K5),$E5*$G5,$G5-SUM($J5:K5)))</f>
        <v>11000</v>
      </c>
      <c r="M5" s="35">
        <f>IF($D5&gt;M$3,0,IF($E5*$G5&lt;$G5-SUM($J5:L5),$E5*$G5,$G5-SUM($J5:L5)))</f>
        <v>11000</v>
      </c>
      <c r="N5" s="35">
        <f>IF($D5&gt;N$3,0,IF($E5*$G5&lt;$G5-SUM($J5:M5),$E5*$G5,$G5-SUM($J5:M5)))</f>
        <v>6000</v>
      </c>
      <c r="O5" s="35">
        <f>IF($D5&gt;O$3,0,IF($E5*$G5&lt;$G5-SUM($J5:N5),$E5*$G5,$G5-SUM($J5:N5)))</f>
        <v>0</v>
      </c>
      <c r="P5" s="83">
        <f>IF($D5&gt;P$3,0,IF($E5*$G5&lt;$G5-SUM($J5:O5),$E5*$G5,$G5-SUM($J5:O5)))</f>
        <v>0</v>
      </c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</row>
    <row r="6" spans="1:103" s="7" customFormat="1" ht="11.25">
      <c r="A6" s="224"/>
      <c r="B6" s="317" t="str">
        <f>INPUTS!B12</f>
        <v>Inmv. Tang 2</v>
      </c>
      <c r="C6" s="258">
        <f>INPUTS!C12</f>
        <v>25000</v>
      </c>
      <c r="D6" s="258">
        <f>INPUTS!D12</f>
        <v>1</v>
      </c>
      <c r="E6" s="272">
        <f>INPUTS!E12</f>
        <v>0.03</v>
      </c>
      <c r="F6" s="272">
        <f>INPUTS!F12</f>
        <v>7.0000000000000007E-2</v>
      </c>
      <c r="G6" s="49">
        <f>C6*$H$2*(1+INPUTS!$C$4)^(D6-1)</f>
        <v>25000</v>
      </c>
      <c r="H6" s="318">
        <f t="shared" si="1"/>
        <v>1750.0000000000002</v>
      </c>
      <c r="J6" s="218">
        <f t="shared" ref="J6:J42" si="2">IF(D6&gt;$J$3,0,E6*G6)</f>
        <v>750</v>
      </c>
      <c r="K6" s="35">
        <f>IF($D6&gt;K$3,0,IF($E6*$G6&lt;$G6-SUM($J6:J6),$E6*$G6,$G6-SUM($J6:J6)))</f>
        <v>750</v>
      </c>
      <c r="L6" s="35">
        <f>IF($D6&gt;L$3,0,IF($E6*$G6&lt;$G6-SUM($J6:K6),$E6*$G6,$G6-SUM($J6:K6)))</f>
        <v>750</v>
      </c>
      <c r="M6" s="35">
        <f>IF($D6&gt;M$3,0,IF($E6*$G6&lt;$G6-SUM($J6:L6),$E6*$G6,$G6-SUM($J6:L6)))</f>
        <v>750</v>
      </c>
      <c r="N6" s="35">
        <f>IF($D6&gt;N$3,0,IF($E6*$G6&lt;$G6-SUM($J6:M6),$E6*$G6,$G6-SUM($J6:M6)))</f>
        <v>750</v>
      </c>
      <c r="O6" s="35">
        <f>IF($D6&gt;O$3,0,IF($E6*$G6&lt;$G6-SUM($J6:N6),$E6*$G6,$G6-SUM($J6:N6)))</f>
        <v>750</v>
      </c>
      <c r="P6" s="83">
        <f>IF($D6&gt;P$3,0,IF($E6*$G6&lt;$G6-SUM($J6:O6),$E6*$G6,$G6-SUM($J6:O6)))</f>
        <v>750</v>
      </c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</row>
    <row r="7" spans="1:103" s="7" customFormat="1" ht="11.25">
      <c r="A7" s="224"/>
      <c r="B7" s="317" t="str">
        <f>INPUTS!B13</f>
        <v>Inmv. Tang 3</v>
      </c>
      <c r="C7" s="258">
        <f>INPUTS!C13</f>
        <v>50000</v>
      </c>
      <c r="D7" s="258">
        <f>INPUTS!D13</f>
        <v>1</v>
      </c>
      <c r="E7" s="272">
        <f>INPUTS!E13</f>
        <v>0.03</v>
      </c>
      <c r="F7" s="272">
        <f>INPUTS!F13</f>
        <v>7.0000000000000007E-2</v>
      </c>
      <c r="G7" s="49">
        <f>C7*$H$2*(1+INPUTS!$C$4)^(D7-1)</f>
        <v>50000</v>
      </c>
      <c r="H7" s="318">
        <f t="shared" si="1"/>
        <v>3500.0000000000005</v>
      </c>
      <c r="J7" s="218">
        <f t="shared" si="2"/>
        <v>1500</v>
      </c>
      <c r="K7" s="35">
        <f>IF($D7&gt;K$3,0,IF($E7*$G7&lt;$G7-SUM($J7:J7),$E7*$G7,$G7-SUM($J7:J7)))</f>
        <v>1500</v>
      </c>
      <c r="L7" s="35">
        <f>IF($D7&gt;L$3,0,IF($E7*$G7&lt;$G7-SUM($J7:K7),$E7*$G7,$G7-SUM($J7:K7)))</f>
        <v>1500</v>
      </c>
      <c r="M7" s="35">
        <f>IF($D7&gt;M$3,0,IF($E7*$G7&lt;$G7-SUM($J7:L7),$E7*$G7,$G7-SUM($J7:L7)))</f>
        <v>1500</v>
      </c>
      <c r="N7" s="35">
        <f>IF($D7&gt;N$3,0,IF($E7*$G7&lt;$G7-SUM($J7:M7),$E7*$G7,$G7-SUM($J7:M7)))</f>
        <v>1500</v>
      </c>
      <c r="O7" s="35">
        <f>IF($D7&gt;O$3,0,IF($E7*$G7&lt;$G7-SUM($J7:N7),$E7*$G7,$G7-SUM($J7:N7)))</f>
        <v>1500</v>
      </c>
      <c r="P7" s="83">
        <f>IF($D7&gt;P$3,0,IF($E7*$G7&lt;$G7-SUM($J7:O7),$E7*$G7,$G7-SUM($J7:O7)))</f>
        <v>1500</v>
      </c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</row>
    <row r="8" spans="1:103" s="7" customFormat="1" ht="11.25">
      <c r="A8" s="224"/>
      <c r="B8" s="317" t="str">
        <f>INPUTS!B14</f>
        <v>Inmv. Tang 4</v>
      </c>
      <c r="C8" s="258">
        <f>INPUTS!C14</f>
        <v>120000</v>
      </c>
      <c r="D8" s="258">
        <f>INPUTS!D14</f>
        <v>3</v>
      </c>
      <c r="E8" s="272">
        <f>INPUTS!E14</f>
        <v>0.03</v>
      </c>
      <c r="F8" s="272">
        <f>INPUTS!F14</f>
        <v>7.0000000000000007E-2</v>
      </c>
      <c r="G8" s="49">
        <f>C8*$H$2*(1+INPUTS!$C$4)^(D8-1)</f>
        <v>126074.99999999999</v>
      </c>
      <c r="H8" s="318">
        <f t="shared" si="1"/>
        <v>8825.25</v>
      </c>
      <c r="J8" s="218">
        <f t="shared" si="2"/>
        <v>0</v>
      </c>
      <c r="K8" s="35">
        <f>IF($D8&gt;K$3,0,IF($E8*$G8&lt;$G8-SUM($J8:J8),$E8*$G8,$G8-SUM($J8:J8)))</f>
        <v>0</v>
      </c>
      <c r="L8" s="35">
        <f>IF($D8&gt;L$3,0,IF($E8*$G8&lt;$G8-SUM($J8:K8),$E8*$G8,$G8-SUM($J8:K8)))</f>
        <v>3782.2499999999995</v>
      </c>
      <c r="M8" s="35">
        <f>IF($D8&gt;M$3,0,IF($E8*$G8&lt;$G8-SUM($J8:L8),$E8*$G8,$G8-SUM($J8:L8)))</f>
        <v>3782.2499999999995</v>
      </c>
      <c r="N8" s="35">
        <f>IF($D8&gt;N$3,0,IF($E8*$G8&lt;$G8-SUM($J8:M8),$E8*$G8,$G8-SUM($J8:M8)))</f>
        <v>3782.2499999999995</v>
      </c>
      <c r="O8" s="35">
        <f>IF($D8&gt;O$3,0,IF($E8*$G8&lt;$G8-SUM($J8:N8),$E8*$G8,$G8-SUM($J8:N8)))</f>
        <v>3782.2499999999995</v>
      </c>
      <c r="P8" s="83">
        <f>IF($D8&gt;P$3,0,IF($E8*$G8&lt;$G8-SUM($J8:O8),$E8*$G8,$G8-SUM($J8:O8)))</f>
        <v>3782.2499999999995</v>
      </c>
    </row>
    <row r="9" spans="1:103" s="7" customFormat="1" ht="11.25">
      <c r="A9" s="224"/>
      <c r="B9" s="317" t="str">
        <f>INPUTS!B15</f>
        <v>Inmv. Tang 5</v>
      </c>
      <c r="C9" s="258">
        <f>INPUTS!C15</f>
        <v>100</v>
      </c>
      <c r="D9" s="258">
        <f>INPUTS!D15</f>
        <v>1</v>
      </c>
      <c r="E9" s="272">
        <f>INPUTS!E15</f>
        <v>0.12</v>
      </c>
      <c r="F9" s="272">
        <f>INPUTS!F15</f>
        <v>0.16</v>
      </c>
      <c r="G9" s="49">
        <f>C9*$H$2*(1+INPUTS!$C$4)^(D9-1)</f>
        <v>100</v>
      </c>
      <c r="H9" s="318">
        <f t="shared" si="1"/>
        <v>16</v>
      </c>
      <c r="J9" s="218">
        <f t="shared" si="2"/>
        <v>12</v>
      </c>
      <c r="K9" s="35">
        <f>IF($D9&gt;K$3,0,IF($E9*$G9&lt;$G9-SUM($J9:J9),$E9*$G9,$G9-SUM($J9:J9)))</f>
        <v>12</v>
      </c>
      <c r="L9" s="35">
        <f>IF($D9&gt;L$3,0,IF($E9*$G9&lt;$G9-SUM($J9:K9),$E9*$G9,$G9-SUM($J9:K9)))</f>
        <v>12</v>
      </c>
      <c r="M9" s="35">
        <f>IF($D9&gt;M$3,0,IF($E9*$G9&lt;$G9-SUM($J9:L9),$E9*$G9,$G9-SUM($J9:L9)))</f>
        <v>12</v>
      </c>
      <c r="N9" s="35">
        <f>IF($D9&gt;N$3,0,IF($E9*$G9&lt;$G9-SUM($J9:M9),$E9*$G9,$G9-SUM($J9:M9)))</f>
        <v>12</v>
      </c>
      <c r="O9" s="35">
        <f>IF($D9&gt;O$3,0,IF($E9*$G9&lt;$G9-SUM($J9:N9),$E9*$G9,$G9-SUM($J9:N9)))</f>
        <v>12</v>
      </c>
      <c r="P9" s="83">
        <f>IF($D9&gt;P$3,0,IF($E9*$G9&lt;$G9-SUM($J9:O9),$E9*$G9,$G9-SUM($J9:O9)))</f>
        <v>12</v>
      </c>
    </row>
    <row r="10" spans="1:103" s="7" customFormat="1" ht="11.25">
      <c r="A10" s="224"/>
      <c r="B10" s="317" t="str">
        <f>INPUTS!B16</f>
        <v>Inmv. Tang 6</v>
      </c>
      <c r="C10" s="258">
        <f>INPUTS!C16</f>
        <v>100</v>
      </c>
      <c r="D10" s="258">
        <f>INPUTS!D16</f>
        <v>1</v>
      </c>
      <c r="E10" s="272">
        <f>INPUTS!E16</f>
        <v>0.15</v>
      </c>
      <c r="F10" s="272">
        <f>INPUTS!F16</f>
        <v>0.16</v>
      </c>
      <c r="G10" s="49">
        <f>C10*$H$2*(1+INPUTS!$C$4)^(D10-1)</f>
        <v>100</v>
      </c>
      <c r="H10" s="318">
        <f t="shared" si="1"/>
        <v>16</v>
      </c>
      <c r="J10" s="218">
        <f t="shared" si="2"/>
        <v>15</v>
      </c>
      <c r="K10" s="35">
        <f>IF($D10&gt;K$3,0,IF($E10*$G10&lt;$G10-SUM($J10:J10),$E10*$G10,$G10-SUM($J10:J10)))</f>
        <v>15</v>
      </c>
      <c r="L10" s="35">
        <f>IF($D10&gt;L$3,0,IF($E10*$G10&lt;$G10-SUM($J10:K10),$E10*$G10,$G10-SUM($J10:K10)))</f>
        <v>15</v>
      </c>
      <c r="M10" s="35">
        <f>IF($D10&gt;M$3,0,IF($E10*$G10&lt;$G10-SUM($J10:L10),$E10*$G10,$G10-SUM($J10:L10)))</f>
        <v>15</v>
      </c>
      <c r="N10" s="35">
        <f>IF($D10&gt;N$3,0,IF($E10*$G10&lt;$G10-SUM($J10:M10),$E10*$G10,$G10-SUM($J10:M10)))</f>
        <v>15</v>
      </c>
      <c r="O10" s="35">
        <f>IF($D10&gt;O$3,0,IF($E10*$G10&lt;$G10-SUM($J10:N10),$E10*$G10,$G10-SUM($J10:N10)))</f>
        <v>15</v>
      </c>
      <c r="P10" s="83">
        <f>IF($D10&gt;P$3,0,IF($E10*$G10&lt;$G10-SUM($J10:O10),$E10*$G10,$G10-SUM($J10:O10)))</f>
        <v>10</v>
      </c>
    </row>
    <row r="11" spans="1:103" s="7" customFormat="1" ht="11.25">
      <c r="A11" s="224"/>
      <c r="B11" s="317" t="str">
        <f>INPUTS!B17</f>
        <v>Inmv. Tang 7</v>
      </c>
      <c r="C11" s="258">
        <f>INPUTS!C17</f>
        <v>100</v>
      </c>
      <c r="D11" s="258">
        <f>INPUTS!D17</f>
        <v>1</v>
      </c>
      <c r="E11" s="272">
        <f>INPUTS!E17</f>
        <v>0.18</v>
      </c>
      <c r="F11" s="272">
        <f>INPUTS!F17</f>
        <v>0.16</v>
      </c>
      <c r="G11" s="49">
        <f>C11*$H$2*(1+INPUTS!$C$4)^(D11-1)</f>
        <v>100</v>
      </c>
      <c r="H11" s="318">
        <f t="shared" si="1"/>
        <v>16</v>
      </c>
      <c r="J11" s="218">
        <f t="shared" si="2"/>
        <v>18</v>
      </c>
      <c r="K11" s="35">
        <f>IF($D11&gt;K$3,0,IF($E11*$G11&lt;$G11-SUM($J11:J11),$E11*$G11,$G11-SUM($J11:J11)))</f>
        <v>18</v>
      </c>
      <c r="L11" s="35">
        <f>IF($D11&gt;L$3,0,IF($E11*$G11&lt;$G11-SUM($J11:K11),$E11*$G11,$G11-SUM($J11:K11)))</f>
        <v>18</v>
      </c>
      <c r="M11" s="35">
        <f>IF($D11&gt;M$3,0,IF($E11*$G11&lt;$G11-SUM($J11:L11),$E11*$G11,$G11-SUM($J11:L11)))</f>
        <v>18</v>
      </c>
      <c r="N11" s="35">
        <f>IF($D11&gt;N$3,0,IF($E11*$G11&lt;$G11-SUM($J11:M11),$E11*$G11,$G11-SUM($J11:M11)))</f>
        <v>18</v>
      </c>
      <c r="O11" s="35">
        <f>IF($D11&gt;O$3,0,IF($E11*$G11&lt;$G11-SUM($J11:N11),$E11*$G11,$G11-SUM($J11:N11)))</f>
        <v>10</v>
      </c>
      <c r="P11" s="83">
        <f>IF($D11&gt;P$3,0,IF($E11*$G11&lt;$G11-SUM($J11:O11),$E11*$G11,$G11-SUM($J11:O11)))</f>
        <v>0</v>
      </c>
    </row>
    <row r="12" spans="1:103" s="7" customFormat="1" ht="11.25">
      <c r="A12" s="224"/>
      <c r="B12" s="317" t="str">
        <f>INPUTS!B18</f>
        <v>Inmv. Tang 8</v>
      </c>
      <c r="C12" s="258">
        <f>INPUTS!C18</f>
        <v>120</v>
      </c>
      <c r="D12" s="258">
        <f>INPUTS!D18</f>
        <v>1</v>
      </c>
      <c r="E12" s="272">
        <f>INPUTS!E18</f>
        <v>0.12</v>
      </c>
      <c r="F12" s="272">
        <f>INPUTS!F18</f>
        <v>0.16</v>
      </c>
      <c r="G12" s="49">
        <f>C12*$H$2*(1+INPUTS!$C$4)^(D12-1)</f>
        <v>120</v>
      </c>
      <c r="H12" s="318">
        <f t="shared" si="1"/>
        <v>19.2</v>
      </c>
      <c r="J12" s="218">
        <f t="shared" si="2"/>
        <v>14.399999999999999</v>
      </c>
      <c r="K12" s="35">
        <f>IF($D12&gt;K$3,0,IF($E12*$G12&lt;$G12-SUM($J12:J12),$E12*$G12,$G12-SUM($J12:J12)))</f>
        <v>14.399999999999999</v>
      </c>
      <c r="L12" s="35">
        <f>IF($D12&gt;L$3,0,IF($E12*$G12&lt;$G12-SUM($J12:K12),$E12*$G12,$G12-SUM($J12:K12)))</f>
        <v>14.399999999999999</v>
      </c>
      <c r="M12" s="35">
        <f>IF($D12&gt;M$3,0,IF($E12*$G12&lt;$G12-SUM($J12:L12),$E12*$G12,$G12-SUM($J12:L12)))</f>
        <v>14.399999999999999</v>
      </c>
      <c r="N12" s="35">
        <f>IF($D12&gt;N$3,0,IF($E12*$G12&lt;$G12-SUM($J12:M12),$E12*$G12,$G12-SUM($J12:M12)))</f>
        <v>14.399999999999999</v>
      </c>
      <c r="O12" s="35">
        <f>IF($D12&gt;O$3,0,IF($E12*$G12&lt;$G12-SUM($J12:N12),$E12*$G12,$G12-SUM($J12:N12)))</f>
        <v>14.399999999999999</v>
      </c>
      <c r="P12" s="83">
        <f>IF($D12&gt;P$3,0,IF($E12*$G12&lt;$G12-SUM($J12:O12),$E12*$G12,$G12-SUM($J12:O12)))</f>
        <v>14.399999999999999</v>
      </c>
    </row>
    <row r="13" spans="1:103" s="7" customFormat="1" ht="11.25">
      <c r="A13" s="224"/>
      <c r="B13" s="317" t="str">
        <f>INPUTS!B19</f>
        <v>Inmv. Tang 9</v>
      </c>
      <c r="C13" s="258">
        <f>INPUTS!C19</f>
        <v>380000</v>
      </c>
      <c r="D13" s="258">
        <f>INPUTS!D19</f>
        <v>2</v>
      </c>
      <c r="E13" s="272">
        <f>INPUTS!E19</f>
        <v>0.18</v>
      </c>
      <c r="F13" s="272">
        <f>INPUTS!F19</f>
        <v>0.16</v>
      </c>
      <c r="G13" s="49">
        <f>C13*$H$2*(1+INPUTS!$C$4)^(D13-1)</f>
        <v>389499.99999999994</v>
      </c>
      <c r="H13" s="318">
        <f t="shared" si="1"/>
        <v>62319.999999999993</v>
      </c>
      <c r="J13" s="218">
        <f t="shared" si="2"/>
        <v>0</v>
      </c>
      <c r="K13" s="35">
        <f>IF($D13&gt;K$3,0,IF($E13*$G13&lt;$G13-SUM($J13:J13),$E13*$G13,$G13-SUM($J13:J13)))</f>
        <v>70109.999999999985</v>
      </c>
      <c r="L13" s="35">
        <f>IF($D13&gt;L$3,0,IF($E13*$G13&lt;$G13-SUM($J13:K13),$E13*$G13,$G13-SUM($J13:K13)))</f>
        <v>70109.999999999985</v>
      </c>
      <c r="M13" s="35">
        <f>IF($D13&gt;M$3,0,IF($E13*$G13&lt;$G13-SUM($J13:L13),$E13*$G13,$G13-SUM($J13:L13)))</f>
        <v>70109.999999999985</v>
      </c>
      <c r="N13" s="35">
        <f>IF($D13&gt;N$3,0,IF($E13*$G13&lt;$G13-SUM($J13:M13),$E13*$G13,$G13-SUM($J13:M13)))</f>
        <v>70109.999999999985</v>
      </c>
      <c r="O13" s="35">
        <f>IF($D13&gt;O$3,0,IF($E13*$G13&lt;$G13-SUM($J13:N13),$E13*$G13,$G13-SUM($J13:N13)))</f>
        <v>70109.999999999985</v>
      </c>
      <c r="P13" s="83">
        <f>IF($D13&gt;P$3,0,IF($E13*$G13&lt;$G13-SUM($J13:O13),$E13*$G13,$G13-SUM($J13:O13)))</f>
        <v>38950</v>
      </c>
    </row>
    <row r="14" spans="1:103" s="7" customFormat="1" ht="11.25">
      <c r="A14" s="224"/>
      <c r="B14" s="317" t="str">
        <f>INPUTS!B20</f>
        <v>Inmv. Tang 10</v>
      </c>
      <c r="C14" s="258">
        <f>INPUTS!C20</f>
        <v>100</v>
      </c>
      <c r="D14" s="258">
        <f>INPUTS!D20</f>
        <v>1</v>
      </c>
      <c r="E14" s="272">
        <f>INPUTS!E20</f>
        <v>0.18</v>
      </c>
      <c r="F14" s="272">
        <f>INPUTS!F20</f>
        <v>0.16</v>
      </c>
      <c r="G14" s="49">
        <f>C14*$H$2*(1+INPUTS!$C$4)^(D14-1)</f>
        <v>100</v>
      </c>
      <c r="H14" s="318">
        <f t="shared" si="1"/>
        <v>16</v>
      </c>
      <c r="J14" s="218">
        <f t="shared" si="2"/>
        <v>18</v>
      </c>
      <c r="K14" s="35">
        <f>IF($D14&gt;K$3,0,IF($E14*$G14&lt;$G14-SUM($J14:J14),$E14*$G14,$G14-SUM($J14:J14)))</f>
        <v>18</v>
      </c>
      <c r="L14" s="35">
        <f>IF($D14&gt;L$3,0,IF($E14*$G14&lt;$G14-SUM($J14:K14),$E14*$G14,$G14-SUM($J14:K14)))</f>
        <v>18</v>
      </c>
      <c r="M14" s="35">
        <f>IF($D14&gt;M$3,0,IF($E14*$G14&lt;$G14-SUM($J14:L14),$E14*$G14,$G14-SUM($J14:L14)))</f>
        <v>18</v>
      </c>
      <c r="N14" s="35">
        <f>IF($D14&gt;N$3,0,IF($E14*$G14&lt;$G14-SUM($J14:M14),$E14*$G14,$G14-SUM($J14:M14)))</f>
        <v>18</v>
      </c>
      <c r="O14" s="35">
        <f>IF($D14&gt;O$3,0,IF($E14*$G14&lt;$G14-SUM($J14:N14),$E14*$G14,$G14-SUM($J14:N14)))</f>
        <v>10</v>
      </c>
      <c r="P14" s="83">
        <f>IF($D14&gt;P$3,0,IF($E14*$G14&lt;$G14-SUM($J14:O14),$E14*$G14,$G14-SUM($J14:O14)))</f>
        <v>0</v>
      </c>
    </row>
    <row r="15" spans="1:103" s="7" customFormat="1" ht="11.25">
      <c r="A15" s="224"/>
      <c r="B15" s="317" t="str">
        <f>INPUTS!B21</f>
        <v>Inmv. Tang 11</v>
      </c>
      <c r="C15" s="258">
        <f>INPUTS!C21</f>
        <v>100</v>
      </c>
      <c r="D15" s="258">
        <f>INPUTS!D21</f>
        <v>1</v>
      </c>
      <c r="E15" s="272">
        <f>INPUTS!E21</f>
        <v>0.18</v>
      </c>
      <c r="F15" s="272">
        <f>INPUTS!F21</f>
        <v>0.16</v>
      </c>
      <c r="G15" s="49">
        <f>C15*$H$2*(1+INPUTS!$C$4)^(D15-1)</f>
        <v>100</v>
      </c>
      <c r="H15" s="318">
        <f t="shared" si="1"/>
        <v>16</v>
      </c>
      <c r="J15" s="218">
        <f t="shared" si="2"/>
        <v>18</v>
      </c>
      <c r="K15" s="35">
        <f>IF($D15&gt;K$3,0,IF($E15*$G15&lt;$G15-SUM($J15:J15),$E15*$G15,$G15-SUM($J15:J15)))</f>
        <v>18</v>
      </c>
      <c r="L15" s="35">
        <f>IF($D15&gt;L$3,0,IF($E15*$G15&lt;$G15-SUM($J15:K15),$E15*$G15,$G15-SUM($J15:K15)))</f>
        <v>18</v>
      </c>
      <c r="M15" s="35">
        <f>IF($D15&gt;M$3,0,IF($E15*$G15&lt;$G15-SUM($J15:L15),$E15*$G15,$G15-SUM($J15:L15)))</f>
        <v>18</v>
      </c>
      <c r="N15" s="35">
        <f>IF($D15&gt;N$3,0,IF($E15*$G15&lt;$G15-SUM($J15:M15),$E15*$G15,$G15-SUM($J15:M15)))</f>
        <v>18</v>
      </c>
      <c r="O15" s="35">
        <f>IF($D15&gt;O$3,0,IF($E15*$G15&lt;$G15-SUM($J15:N15),$E15*$G15,$G15-SUM($J15:N15)))</f>
        <v>10</v>
      </c>
      <c r="P15" s="83">
        <f>IF($D15&gt;P$3,0,IF($E15*$G15&lt;$G15-SUM($J15:O15),$E15*$G15,$G15-SUM($J15:O15)))</f>
        <v>0</v>
      </c>
    </row>
    <row r="16" spans="1:103" s="7" customFormat="1" ht="11.25">
      <c r="A16" s="224"/>
      <c r="B16" s="317" t="str">
        <f>INPUTS!B22</f>
        <v>Inmv. Tang 12</v>
      </c>
      <c r="C16" s="258">
        <f>INPUTS!C22</f>
        <v>100</v>
      </c>
      <c r="D16" s="258">
        <f>INPUTS!D22</f>
        <v>1</v>
      </c>
      <c r="E16" s="272">
        <f>INPUTS!E22</f>
        <v>0.03</v>
      </c>
      <c r="F16" s="272">
        <f>INPUTS!F22</f>
        <v>0.16</v>
      </c>
      <c r="G16" s="49">
        <f>C16*$H$2*(1+INPUTS!$C$4)^(D16-1)</f>
        <v>100</v>
      </c>
      <c r="H16" s="318">
        <f t="shared" si="1"/>
        <v>16</v>
      </c>
      <c r="J16" s="218">
        <f t="shared" si="2"/>
        <v>3</v>
      </c>
      <c r="K16" s="35">
        <f>IF($D16&gt;K$3,0,IF($E16*$G16&lt;$G16-SUM($J16:J16),$E16*$G16,$G16-SUM($J16:J16)))</f>
        <v>3</v>
      </c>
      <c r="L16" s="35">
        <f>IF($D16&gt;L$3,0,IF($E16*$G16&lt;$G16-SUM($J16:K16),$E16*$G16,$G16-SUM($J16:K16)))</f>
        <v>3</v>
      </c>
      <c r="M16" s="35">
        <f>IF($D16&gt;M$3,0,IF($E16*$G16&lt;$G16-SUM($J16:L16),$E16*$G16,$G16-SUM($J16:L16)))</f>
        <v>3</v>
      </c>
      <c r="N16" s="35">
        <f>IF($D16&gt;N$3,0,IF($E16*$G16&lt;$G16-SUM($J16:M16),$E16*$G16,$G16-SUM($J16:M16)))</f>
        <v>3</v>
      </c>
      <c r="O16" s="35">
        <f>IF($D16&gt;O$3,0,IF($E16*$G16&lt;$G16-SUM($J16:N16),$E16*$G16,$G16-SUM($J16:N16)))</f>
        <v>3</v>
      </c>
      <c r="P16" s="83">
        <f>IF($D16&gt;P$3,0,IF($E16*$G16&lt;$G16-SUM($J16:O16),$E16*$G16,$G16-SUM($J16:O16)))</f>
        <v>3</v>
      </c>
    </row>
    <row r="17" spans="1:16" s="7" customFormat="1" ht="11.25">
      <c r="A17" s="224"/>
      <c r="B17" s="317" t="str">
        <f>INPUTS!B23</f>
        <v>Inmv. Tang 13</v>
      </c>
      <c r="C17" s="258">
        <f>INPUTS!C23</f>
        <v>100</v>
      </c>
      <c r="D17" s="258">
        <f>INPUTS!D23</f>
        <v>1</v>
      </c>
      <c r="E17" s="272">
        <f>INPUTS!E23</f>
        <v>0.18</v>
      </c>
      <c r="F17" s="272">
        <f>INPUTS!F23</f>
        <v>0.16</v>
      </c>
      <c r="G17" s="49">
        <f>C17*$H$2*(1+INPUTS!$C$4)^(D17-1)</f>
        <v>100</v>
      </c>
      <c r="H17" s="318">
        <f t="shared" si="1"/>
        <v>16</v>
      </c>
      <c r="J17" s="218">
        <f t="shared" si="2"/>
        <v>18</v>
      </c>
      <c r="K17" s="35">
        <f>IF($D17&gt;K$3,0,IF($E17*$G17&lt;$G17-SUM($J17:J17),$E17*$G17,$G17-SUM($J17:J17)))</f>
        <v>18</v>
      </c>
      <c r="L17" s="35">
        <f>IF($D17&gt;L$3,0,IF($E17*$G17&lt;$G17-SUM($J17:K17),$E17*$G17,$G17-SUM($J17:K17)))</f>
        <v>18</v>
      </c>
      <c r="M17" s="35">
        <f>IF($D17&gt;M$3,0,IF($E17*$G17&lt;$G17-SUM($J17:L17),$E17*$G17,$G17-SUM($J17:L17)))</f>
        <v>18</v>
      </c>
      <c r="N17" s="35">
        <f>IF($D17&gt;N$3,0,IF($E17*$G17&lt;$G17-SUM($J17:M17),$E17*$G17,$G17-SUM($J17:M17)))</f>
        <v>18</v>
      </c>
      <c r="O17" s="35">
        <f>IF($D17&gt;O$3,0,IF($E17*$G17&lt;$G17-SUM($J17:N17),$E17*$G17,$G17-SUM($J17:N17)))</f>
        <v>10</v>
      </c>
      <c r="P17" s="83">
        <f>IF($D17&gt;P$3,0,IF($E17*$G17&lt;$G17-SUM($J17:O17),$E17*$G17,$G17-SUM($J17:O17)))</f>
        <v>0</v>
      </c>
    </row>
    <row r="18" spans="1:16" s="7" customFormat="1" ht="11.25">
      <c r="A18" s="224"/>
      <c r="B18" s="317" t="str">
        <f>INPUTS!B24</f>
        <v>Inmv. Tang 14</v>
      </c>
      <c r="C18" s="258">
        <f>INPUTS!C24</f>
        <v>100</v>
      </c>
      <c r="D18" s="258">
        <f>INPUTS!D24</f>
        <v>1</v>
      </c>
      <c r="E18" s="272">
        <f>INPUTS!E24</f>
        <v>0.18</v>
      </c>
      <c r="F18" s="272">
        <f>INPUTS!F24</f>
        <v>0.16</v>
      </c>
      <c r="G18" s="49">
        <f>C18*$H$2*(1+INPUTS!$C$4)^(D18-1)</f>
        <v>100</v>
      </c>
      <c r="H18" s="318">
        <f t="shared" si="1"/>
        <v>16</v>
      </c>
      <c r="J18" s="218">
        <f t="shared" si="2"/>
        <v>18</v>
      </c>
      <c r="K18" s="35">
        <f>IF($D18&gt;K$3,0,IF($E18*$G18&lt;$G18-SUM($J18:J18),$E18*$G18,$G18-SUM($J18:J18)))</f>
        <v>18</v>
      </c>
      <c r="L18" s="35">
        <f>IF($D18&gt;L$3,0,IF($E18*$G18&lt;$G18-SUM($J18:K18),$E18*$G18,$G18-SUM($J18:K18)))</f>
        <v>18</v>
      </c>
      <c r="M18" s="35">
        <f>IF($D18&gt;M$3,0,IF($E18*$G18&lt;$G18-SUM($J18:L18),$E18*$G18,$G18-SUM($J18:L18)))</f>
        <v>18</v>
      </c>
      <c r="N18" s="35">
        <f>IF($D18&gt;N$3,0,IF($E18*$G18&lt;$G18-SUM($J18:M18),$E18*$G18,$G18-SUM($J18:M18)))</f>
        <v>18</v>
      </c>
      <c r="O18" s="35">
        <f>IF($D18&gt;O$3,0,IF($E18*$G18&lt;$G18-SUM($J18:N18),$E18*$G18,$G18-SUM($J18:N18)))</f>
        <v>10</v>
      </c>
      <c r="P18" s="83">
        <f>IF($D18&gt;P$3,0,IF($E18*$G18&lt;$G18-SUM($J18:O18),$E18*$G18,$G18-SUM($J18:O18)))</f>
        <v>0</v>
      </c>
    </row>
    <row r="19" spans="1:16" s="7" customFormat="1" ht="11.25">
      <c r="A19" s="224"/>
      <c r="B19" s="317" t="str">
        <f>INPUTS!B25</f>
        <v>Inmv. Tang 15</v>
      </c>
      <c r="C19" s="258">
        <f>INPUTS!C25</f>
        <v>460000</v>
      </c>
      <c r="D19" s="258">
        <f>INPUTS!D25</f>
        <v>3</v>
      </c>
      <c r="E19" s="272">
        <f>INPUTS!E25</f>
        <v>0.18</v>
      </c>
      <c r="F19" s="272">
        <f>INPUTS!F25</f>
        <v>0.16</v>
      </c>
      <c r="G19" s="49">
        <f>C19*$H$2*(1+INPUTS!$C$4)^(D19-1)</f>
        <v>483287.49999999994</v>
      </c>
      <c r="H19" s="318">
        <f t="shared" si="1"/>
        <v>77325.999999999985</v>
      </c>
      <c r="J19" s="218">
        <f t="shared" si="2"/>
        <v>0</v>
      </c>
      <c r="K19" s="35">
        <f>IF($D19&gt;K$3,0,IF($E19*$G19&lt;$G19-SUM($J19:J19),$E19*$G19,$G19-SUM($J19:J19)))</f>
        <v>0</v>
      </c>
      <c r="L19" s="35">
        <f>IF($D19&gt;L$3,0,IF($E19*$G19&lt;$G19-SUM($J19:K19),$E19*$G19,$G19-SUM($J19:K19)))</f>
        <v>86991.749999999985</v>
      </c>
      <c r="M19" s="35">
        <f>IF($D19&gt;M$3,0,IF($E19*$G19&lt;$G19-SUM($J19:L19),$E19*$G19,$G19-SUM($J19:L19)))</f>
        <v>86991.749999999985</v>
      </c>
      <c r="N19" s="35">
        <f>IF($D19&gt;N$3,0,IF($E19*$G19&lt;$G19-SUM($J19:M19),$E19*$G19,$G19-SUM($J19:M19)))</f>
        <v>86991.749999999985</v>
      </c>
      <c r="O19" s="35">
        <f>IF($D19&gt;O$3,0,IF($E19*$G19&lt;$G19-SUM($J19:N19),$E19*$G19,$G19-SUM($J19:N19)))</f>
        <v>86991.749999999985</v>
      </c>
      <c r="P19" s="83">
        <f>IF($D19&gt;P$3,0,IF($E19*$G19&lt;$G19-SUM($J19:O19),$E19*$G19,$G19-SUM($J19:O19)))</f>
        <v>86991.749999999985</v>
      </c>
    </row>
    <row r="20" spans="1:16" s="7" customFormat="1" ht="11.25">
      <c r="A20" s="224"/>
      <c r="B20" s="317" t="str">
        <f>INPUTS!B26</f>
        <v>Inmv. Tang 16</v>
      </c>
      <c r="C20" s="258">
        <f>INPUTS!C26</f>
        <v>0</v>
      </c>
      <c r="D20" s="258">
        <f>INPUTS!D26</f>
        <v>1</v>
      </c>
      <c r="E20" s="272">
        <f>INPUTS!E26</f>
        <v>0.18</v>
      </c>
      <c r="F20" s="272">
        <f>INPUTS!F26</f>
        <v>0.16</v>
      </c>
      <c r="G20" s="49">
        <f>C20*$H$2*(1+INPUTS!$C$4)^(D20-1)</f>
        <v>0</v>
      </c>
      <c r="H20" s="318">
        <f t="shared" si="1"/>
        <v>0</v>
      </c>
      <c r="J20" s="218">
        <f t="shared" si="2"/>
        <v>0</v>
      </c>
      <c r="K20" s="35">
        <f>IF($D20&gt;K$3,0,IF($E20*$G20&lt;$G20-SUM($J20:J20),$E20*$G20,$G20-SUM($J20:J20)))</f>
        <v>0</v>
      </c>
      <c r="L20" s="35">
        <f>IF($D20&gt;L$3,0,IF($E20*$G20&lt;$G20-SUM($J20:K20),$E20*$G20,$G20-SUM($J20:K20)))</f>
        <v>0</v>
      </c>
      <c r="M20" s="35">
        <f>IF($D20&gt;M$3,0,IF($E20*$G20&lt;$G20-SUM($J20:L20),$E20*$G20,$G20-SUM($J20:L20)))</f>
        <v>0</v>
      </c>
      <c r="N20" s="35">
        <f>IF($D20&gt;N$3,0,IF($E20*$G20&lt;$G20-SUM($J20:M20),$E20*$G20,$G20-SUM($J20:M20)))</f>
        <v>0</v>
      </c>
      <c r="O20" s="35">
        <f>IF($D20&gt;O$3,0,IF($E20*$G20&lt;$G20-SUM($J20:N20),$E20*$G20,$G20-SUM($J20:N20)))</f>
        <v>0</v>
      </c>
      <c r="P20" s="83">
        <f>IF($D20&gt;P$3,0,IF($E20*$G20&lt;$G20-SUM($J20:O20),$E20*$G20,$G20-SUM($J20:O20)))</f>
        <v>0</v>
      </c>
    </row>
    <row r="21" spans="1:16" s="7" customFormat="1" ht="11.25">
      <c r="A21" s="224"/>
      <c r="B21" s="317" t="str">
        <f>INPUTS!B27</f>
        <v>Inmv. Tang 17</v>
      </c>
      <c r="C21" s="258">
        <f>INPUTS!C27</f>
        <v>0</v>
      </c>
      <c r="D21" s="258">
        <f>INPUTS!D27</f>
        <v>1</v>
      </c>
      <c r="E21" s="272">
        <f>INPUTS!E27</f>
        <v>0.18</v>
      </c>
      <c r="F21" s="272">
        <f>INPUTS!F27</f>
        <v>0.16</v>
      </c>
      <c r="G21" s="49">
        <f>C21*$H$2*(1+INPUTS!$C$4)^(D21-1)</f>
        <v>0</v>
      </c>
      <c r="H21" s="318">
        <f t="shared" si="1"/>
        <v>0</v>
      </c>
      <c r="J21" s="218">
        <f t="shared" si="2"/>
        <v>0</v>
      </c>
      <c r="K21" s="35">
        <f>IF($D21&gt;K$3,0,IF($E21*$G21&lt;$G21-SUM($J21:J21),$E21*$G21,$G21-SUM($J21:J21)))</f>
        <v>0</v>
      </c>
      <c r="L21" s="35">
        <f>IF($D21&gt;L$3,0,IF($E21*$G21&lt;$G21-SUM($J21:K21),$E21*$G21,$G21-SUM($J21:K21)))</f>
        <v>0</v>
      </c>
      <c r="M21" s="35">
        <f>IF($D21&gt;M$3,0,IF($E21*$G21&lt;$G21-SUM($J21:L21),$E21*$G21,$G21-SUM($J21:L21)))</f>
        <v>0</v>
      </c>
      <c r="N21" s="35">
        <f>IF($D21&gt;N$3,0,IF($E21*$G21&lt;$G21-SUM($J21:M21),$E21*$G21,$G21-SUM($J21:M21)))</f>
        <v>0</v>
      </c>
      <c r="O21" s="35">
        <f>IF($D21&gt;O$3,0,IF($E21*$G21&lt;$G21-SUM($J21:N21),$E21*$G21,$G21-SUM($J21:N21)))</f>
        <v>0</v>
      </c>
      <c r="P21" s="83">
        <f>IF($D21&gt;P$3,0,IF($E21*$G21&lt;$G21-SUM($J21:O21),$E21*$G21,$G21-SUM($J21:O21)))</f>
        <v>0</v>
      </c>
    </row>
    <row r="22" spans="1:16" s="7" customFormat="1" ht="11.25">
      <c r="A22" s="224"/>
      <c r="B22" s="317" t="str">
        <f>INPUTS!B28</f>
        <v>Inmv. Tang 18</v>
      </c>
      <c r="C22" s="258">
        <f>INPUTS!C28</f>
        <v>0</v>
      </c>
      <c r="D22" s="258">
        <f>INPUTS!D28</f>
        <v>1</v>
      </c>
      <c r="E22" s="272">
        <f>INPUTS!E28</f>
        <v>0.18</v>
      </c>
      <c r="F22" s="272">
        <f>INPUTS!F28</f>
        <v>0.16</v>
      </c>
      <c r="G22" s="49">
        <f>C22*$H$2*(1+INPUTS!$C$4)^(D22-1)</f>
        <v>0</v>
      </c>
      <c r="H22" s="318">
        <f t="shared" si="1"/>
        <v>0</v>
      </c>
      <c r="J22" s="218">
        <f t="shared" si="2"/>
        <v>0</v>
      </c>
      <c r="K22" s="35">
        <f>IF($D22&gt;K$3,0,IF($E22*$G22&lt;$G22-SUM($J22:J22),$E22*$G22,$G22-SUM($J22:J22)))</f>
        <v>0</v>
      </c>
      <c r="L22" s="35">
        <f>IF($D22&gt;L$3,0,IF($E22*$G22&lt;$G22-SUM($J22:K22),$E22*$G22,$G22-SUM($J22:K22)))</f>
        <v>0</v>
      </c>
      <c r="M22" s="35">
        <f>IF($D22&gt;M$3,0,IF($E22*$G22&lt;$G22-SUM($J22:L22),$E22*$G22,$G22-SUM($J22:L22)))</f>
        <v>0</v>
      </c>
      <c r="N22" s="35">
        <f>IF($D22&gt;N$3,0,IF($E22*$G22&lt;$G22-SUM($J22:M22),$E22*$G22,$G22-SUM($J22:M22)))</f>
        <v>0</v>
      </c>
      <c r="O22" s="35">
        <f>IF($D22&gt;O$3,0,IF($E22*$G22&lt;$G22-SUM($J22:N22),$E22*$G22,$G22-SUM($J22:N22)))</f>
        <v>0</v>
      </c>
      <c r="P22" s="83">
        <f>IF($D22&gt;P$3,0,IF($E22*$G22&lt;$G22-SUM($J22:O22),$E22*$G22,$G22-SUM($J22:O22)))</f>
        <v>0</v>
      </c>
    </row>
    <row r="23" spans="1:16" s="7" customFormat="1" ht="11.25">
      <c r="A23" s="224"/>
      <c r="B23" s="317" t="str">
        <f>INPUTS!B29</f>
        <v>Inmv. Tang 19</v>
      </c>
      <c r="C23" s="258">
        <f>INPUTS!C29</f>
        <v>0</v>
      </c>
      <c r="D23" s="258">
        <f>INPUTS!D29</f>
        <v>8</v>
      </c>
      <c r="E23" s="272">
        <f>INPUTS!E29</f>
        <v>0.18</v>
      </c>
      <c r="F23" s="272">
        <f>INPUTS!F29</f>
        <v>0.16</v>
      </c>
      <c r="G23" s="49">
        <f>C23*$H$2*(1+INPUTS!$C$4)^(D23-1)</f>
        <v>0</v>
      </c>
      <c r="H23" s="318">
        <f t="shared" si="1"/>
        <v>0</v>
      </c>
      <c r="J23" s="218">
        <f t="shared" si="2"/>
        <v>0</v>
      </c>
      <c r="K23" s="35">
        <f>IF($D23&gt;K$3,0,IF($E23*$G23&lt;$G23-SUM($J23:J23),$E23*$G23,$G23-SUM($J23:J23)))</f>
        <v>0</v>
      </c>
      <c r="L23" s="35">
        <f>IF($D23&gt;L$3,0,IF($E23*$G23&lt;$G23-SUM($J23:K23),$E23*$G23,$G23-SUM($J23:K23)))</f>
        <v>0</v>
      </c>
      <c r="M23" s="35">
        <f>IF($D23&gt;M$3,0,IF($E23*$G23&lt;$G23-SUM($J23:L23),$E23*$G23,$G23-SUM($J23:L23)))</f>
        <v>0</v>
      </c>
      <c r="N23" s="35">
        <f>IF($D23&gt;N$3,0,IF($E23*$G23&lt;$G23-SUM($J23:M23),$E23*$G23,$G23-SUM($J23:M23)))</f>
        <v>0</v>
      </c>
      <c r="O23" s="35">
        <f>IF($D23&gt;O$3,0,IF($E23*$G23&lt;$G23-SUM($J23:N23),$E23*$G23,$G23-SUM($J23:N23)))</f>
        <v>0</v>
      </c>
      <c r="P23" s="83">
        <f>IF($D23&gt;P$3,0,IF($E23*$G23&lt;$G23-SUM($J23:O23),$E23*$G23,$G23-SUM($J23:O23)))</f>
        <v>0</v>
      </c>
    </row>
    <row r="24" spans="1:16" s="7" customFormat="1" ht="11.25">
      <c r="A24" s="224"/>
      <c r="B24" s="317" t="str">
        <f>INPUTS!B30</f>
        <v>Inmv. Tang 20</v>
      </c>
      <c r="C24" s="258">
        <f>INPUTS!C30</f>
        <v>0</v>
      </c>
      <c r="D24" s="258">
        <f>INPUTS!D30</f>
        <v>1</v>
      </c>
      <c r="E24" s="272">
        <f>INPUTS!E30</f>
        <v>0.03</v>
      </c>
      <c r="F24" s="272">
        <f>INPUTS!F30</f>
        <v>0.16</v>
      </c>
      <c r="G24" s="49">
        <f>C24*$H$2*(1+INPUTS!$C$4)^(D24-1)</f>
        <v>0</v>
      </c>
      <c r="H24" s="318">
        <f t="shared" si="1"/>
        <v>0</v>
      </c>
      <c r="J24" s="218">
        <f t="shared" si="2"/>
        <v>0</v>
      </c>
      <c r="K24" s="35">
        <f>IF($D24&gt;K$3,0,IF($E24*$G24&lt;$G24-SUM($J24:J24),$E24*$G24,$G24-SUM($J24:J24)))</f>
        <v>0</v>
      </c>
      <c r="L24" s="35">
        <f>IF($D24&gt;L$3,0,IF($E24*$G24&lt;$G24-SUM($J24:K24),$E24*$G24,$G24-SUM($J24:K24)))</f>
        <v>0</v>
      </c>
      <c r="M24" s="35">
        <f>IF($D24&gt;M$3,0,IF($E24*$G24&lt;$G24-SUM($J24:L24),$E24*$G24,$G24-SUM($J24:L24)))</f>
        <v>0</v>
      </c>
      <c r="N24" s="35">
        <f>IF($D24&gt;N$3,0,IF($E24*$G24&lt;$G24-SUM($J24:M24),$E24*$G24,$G24-SUM($J24:M24)))</f>
        <v>0</v>
      </c>
      <c r="O24" s="35">
        <f>IF($D24&gt;O$3,0,IF($E24*$G24&lt;$G24-SUM($J24:N24),$E24*$G24,$G24-SUM($J24:N24)))</f>
        <v>0</v>
      </c>
      <c r="P24" s="83">
        <f>IF($D24&gt;P$3,0,IF($E24*$G24&lt;$G24-SUM($J24:O24),$E24*$G24,$G24-SUM($J24:O24)))</f>
        <v>0</v>
      </c>
    </row>
    <row r="25" spans="1:16" s="7" customFormat="1" ht="11.25">
      <c r="A25" s="224"/>
      <c r="B25" s="81" t="s">
        <v>146</v>
      </c>
      <c r="C25" s="49"/>
      <c r="D25" s="49"/>
      <c r="E25" s="28"/>
      <c r="F25" s="28"/>
      <c r="G25" s="49"/>
      <c r="H25" s="318"/>
      <c r="J25" s="322"/>
      <c r="K25" s="162"/>
      <c r="L25" s="162"/>
      <c r="M25" s="162"/>
      <c r="N25" s="162"/>
      <c r="O25" s="162"/>
      <c r="P25" s="318"/>
    </row>
    <row r="26" spans="1:16" s="7" customFormat="1" ht="11.25">
      <c r="A26" s="224"/>
      <c r="B26" s="317" t="str">
        <f>INPUTS!B32</f>
        <v>Inmv. Intang. 1</v>
      </c>
      <c r="C26" s="258">
        <f>INPUTS!C32</f>
        <v>160000</v>
      </c>
      <c r="D26" s="258">
        <f>INPUTS!D32</f>
        <v>1</v>
      </c>
      <c r="E26" s="272">
        <f>INPUTS!E32</f>
        <v>0.03</v>
      </c>
      <c r="F26" s="272">
        <f>INPUTS!F32</f>
        <v>0.16</v>
      </c>
      <c r="G26" s="49">
        <f>C26*$H$2*(1+INPUTS!$C$4)^(D26-1)</f>
        <v>160000</v>
      </c>
      <c r="H26" s="318">
        <f t="shared" ref="H26:H34" si="3">G26*F26</f>
        <v>25600</v>
      </c>
      <c r="J26" s="218">
        <f t="shared" si="2"/>
        <v>4800</v>
      </c>
      <c r="K26" s="35">
        <f>IF($D26&gt;K$3,0,IF($E26*$G26&lt;$G26-SUM($J26:J26),$E26*$G26,$G26-SUM($J26:J26)))</f>
        <v>4800</v>
      </c>
      <c r="L26" s="35">
        <f>IF($D26&gt;L$3,0,IF($E26*$G26&lt;$G26-SUM($J26:K26),$E26*$G26,$G26-SUM($J26:K26)))</f>
        <v>4800</v>
      </c>
      <c r="M26" s="35">
        <f>IF($D26&gt;M$3,0,IF($E26*$G26&lt;$G26-SUM($J26:L26),$E26*$G26,$G26-SUM($J26:L26)))</f>
        <v>4800</v>
      </c>
      <c r="N26" s="35">
        <f>IF($D26&gt;N$3,0,IF($E26*$G26&lt;$G26-SUM($J26:M26),$E26*$G26,$G26-SUM($J26:M26)))</f>
        <v>4800</v>
      </c>
      <c r="O26" s="35">
        <f>IF($D26&gt;O$3,0,IF($E26*$G26&lt;$G26-SUM($J26:N26),$E26*$G26,$G26-SUM($J26:N26)))</f>
        <v>4800</v>
      </c>
      <c r="P26" s="83">
        <f>IF($D26&gt;P$3,0,IF($E26*$G26&lt;$G26-SUM($J26:O26),$E26*$G26,$G26-SUM($J26:O26)))</f>
        <v>4800</v>
      </c>
    </row>
    <row r="27" spans="1:16" s="7" customFormat="1" ht="11.25">
      <c r="A27" s="224"/>
      <c r="B27" s="317" t="str">
        <f>INPUTS!B33</f>
        <v>Inmv. Intang. 2</v>
      </c>
      <c r="C27" s="258">
        <f>INPUTS!C33</f>
        <v>120000</v>
      </c>
      <c r="D27" s="258">
        <f>INPUTS!D33</f>
        <v>1</v>
      </c>
      <c r="E27" s="272">
        <f>INPUTS!E33</f>
        <v>0.16</v>
      </c>
      <c r="F27" s="272">
        <f>INPUTS!F33</f>
        <v>0.16</v>
      </c>
      <c r="G27" s="49">
        <f>C27*$H$2*(1+INPUTS!$C$4)^(D27-1)</f>
        <v>120000</v>
      </c>
      <c r="H27" s="318">
        <f t="shared" si="3"/>
        <v>19200</v>
      </c>
      <c r="J27" s="218">
        <f t="shared" si="2"/>
        <v>19200</v>
      </c>
      <c r="K27" s="35">
        <f>IF($D27&gt;K$3,0,IF($E27*$G27&lt;$G27-SUM($J27:J27),$E27*$G27,$G27-SUM($J27:J27)))</f>
        <v>19200</v>
      </c>
      <c r="L27" s="35">
        <f>IF($D27&gt;L$3,0,IF($E27*$G27&lt;$G27-SUM($J27:K27),$E27*$G27,$G27-SUM($J27:K27)))</f>
        <v>19200</v>
      </c>
      <c r="M27" s="35">
        <f>IF($D27&gt;M$3,0,IF($E27*$G27&lt;$G27-SUM($J27:L27),$E27*$G27,$G27-SUM($J27:L27)))</f>
        <v>19200</v>
      </c>
      <c r="N27" s="35">
        <f>IF($D27&gt;N$3,0,IF($E27*$G27&lt;$G27-SUM($J27:M27),$E27*$G27,$G27-SUM($J27:M27)))</f>
        <v>19200</v>
      </c>
      <c r="O27" s="35">
        <f>IF($D27&gt;O$3,0,IF($E27*$G27&lt;$G27-SUM($J27:N27),$E27*$G27,$G27-SUM($J27:N27)))</f>
        <v>19200</v>
      </c>
      <c r="P27" s="83">
        <f>IF($D27&gt;P$3,0,IF($E27*$G27&lt;$G27-SUM($J27:O27),$E27*$G27,$G27-SUM($J27:O27)))</f>
        <v>4800</v>
      </c>
    </row>
    <row r="28" spans="1:16" s="7" customFormat="1" ht="11.25">
      <c r="A28" s="224"/>
      <c r="B28" s="317" t="str">
        <f>INPUTS!B34</f>
        <v>Inmv. Intang. 3</v>
      </c>
      <c r="C28" s="258">
        <f>INPUTS!C34</f>
        <v>100</v>
      </c>
      <c r="D28" s="258">
        <f>INPUTS!D34</f>
        <v>3</v>
      </c>
      <c r="E28" s="272">
        <f>INPUTS!E34</f>
        <v>0.14000000000000001</v>
      </c>
      <c r="F28" s="272">
        <f>INPUTS!F34</f>
        <v>0.16</v>
      </c>
      <c r="G28" s="49">
        <f>C28*$H$2*(1+INPUTS!$C$4)^(D28-1)</f>
        <v>105.06249999999999</v>
      </c>
      <c r="H28" s="318">
        <f t="shared" si="3"/>
        <v>16.809999999999999</v>
      </c>
      <c r="J28" s="218">
        <f t="shared" si="2"/>
        <v>0</v>
      </c>
      <c r="K28" s="35">
        <f>IF($D28&gt;K$3,0,IF($E28*$G28&lt;$G28-SUM($J28:J28),$E28*$G28,$G28-SUM($J28:J28)))</f>
        <v>0</v>
      </c>
      <c r="L28" s="35">
        <f>IF($D28&gt;L$3,0,IF($E28*$G28&lt;$G28-SUM($J28:K28),$E28*$G28,$G28-SUM($J28:K28)))</f>
        <v>14.70875</v>
      </c>
      <c r="M28" s="35">
        <f>IF($D28&gt;M$3,0,IF($E28*$G28&lt;$G28-SUM($J28:L28),$E28*$G28,$G28-SUM($J28:L28)))</f>
        <v>14.70875</v>
      </c>
      <c r="N28" s="35">
        <f>IF($D28&gt;N$3,0,IF($E28*$G28&lt;$G28-SUM($J28:M28),$E28*$G28,$G28-SUM($J28:M28)))</f>
        <v>14.70875</v>
      </c>
      <c r="O28" s="35">
        <f>IF($D28&gt;O$3,0,IF($E28*$G28&lt;$G28-SUM($J28:N28),$E28*$G28,$G28-SUM($J28:N28)))</f>
        <v>14.70875</v>
      </c>
      <c r="P28" s="83">
        <f>IF($D28&gt;P$3,0,IF($E28*$G28&lt;$G28-SUM($J28:O28),$E28*$G28,$G28-SUM($J28:O28)))</f>
        <v>14.70875</v>
      </c>
    </row>
    <row r="29" spans="1:16" s="7" customFormat="1" ht="11.25">
      <c r="A29" s="224"/>
      <c r="B29" s="317" t="str">
        <f>INPUTS!B35</f>
        <v>Inmv. Intang. 4</v>
      </c>
      <c r="C29" s="258">
        <f>INPUTS!C35</f>
        <v>100</v>
      </c>
      <c r="D29" s="258">
        <f>INPUTS!D35</f>
        <v>4</v>
      </c>
      <c r="E29" s="272">
        <f>INPUTS!E35</f>
        <v>0.14000000000000001</v>
      </c>
      <c r="F29" s="272">
        <f>INPUTS!F35</f>
        <v>0.16</v>
      </c>
      <c r="G29" s="49">
        <f>C29*$H$2*(1+INPUTS!$C$4)^(D29-1)</f>
        <v>107.68906249999999</v>
      </c>
      <c r="H29" s="318">
        <f t="shared" si="3"/>
        <v>17.230249999999998</v>
      </c>
      <c r="J29" s="218">
        <f t="shared" si="2"/>
        <v>0</v>
      </c>
      <c r="K29" s="35">
        <f>IF($D29&gt;K$3,0,IF($E29*$G29&lt;$G29-SUM($J29:J29),$E29*$G29,$G29-SUM($J29:J29)))</f>
        <v>0</v>
      </c>
      <c r="L29" s="35">
        <f>IF($D29&gt;L$3,0,IF($E29*$G29&lt;$G29-SUM($J29:K29),$E29*$G29,$G29-SUM($J29:K29)))</f>
        <v>0</v>
      </c>
      <c r="M29" s="35">
        <f>IF($D29&gt;M$3,0,IF($E29*$G29&lt;$G29-SUM($J29:L29),$E29*$G29,$G29-SUM($J29:L29)))</f>
        <v>15.07646875</v>
      </c>
      <c r="N29" s="35">
        <f>IF($D29&gt;N$3,0,IF($E29*$G29&lt;$G29-SUM($J29:M29),$E29*$G29,$G29-SUM($J29:M29)))</f>
        <v>15.07646875</v>
      </c>
      <c r="O29" s="35">
        <f>IF($D29&gt;O$3,0,IF($E29*$G29&lt;$G29-SUM($J29:N29),$E29*$G29,$G29-SUM($J29:N29)))</f>
        <v>15.07646875</v>
      </c>
      <c r="P29" s="83">
        <f>IF($D29&gt;P$3,0,IF($E29*$G29&lt;$G29-SUM($J29:O29),$E29*$G29,$G29-SUM($J29:O29)))</f>
        <v>15.07646875</v>
      </c>
    </row>
    <row r="30" spans="1:16" s="7" customFormat="1" ht="11.25">
      <c r="A30" s="224"/>
      <c r="B30" s="317" t="str">
        <f>INPUTS!B36</f>
        <v>Inmv. Intang. 5</v>
      </c>
      <c r="C30" s="258">
        <f>INPUTS!C36</f>
        <v>0</v>
      </c>
      <c r="D30" s="258">
        <f>INPUTS!D36</f>
        <v>1</v>
      </c>
      <c r="E30" s="272">
        <f>INPUTS!E36</f>
        <v>0.14000000000000001</v>
      </c>
      <c r="F30" s="272">
        <f>INPUTS!F36</f>
        <v>0.16</v>
      </c>
      <c r="G30" s="49">
        <f>C30*$H$2*(1+INPUTS!$C$4)^(D30-1)</f>
        <v>0</v>
      </c>
      <c r="H30" s="318">
        <f t="shared" si="3"/>
        <v>0</v>
      </c>
      <c r="J30" s="218">
        <f t="shared" si="2"/>
        <v>0</v>
      </c>
      <c r="K30" s="35">
        <f>IF($D30&gt;K$3,0,IF($E30*$G30&lt;$G30-SUM($J30:J30),$E30*$G30,$G30-SUM($J30:J30)))</f>
        <v>0</v>
      </c>
      <c r="L30" s="35">
        <f>IF($D30&gt;L$3,0,IF($E30*$G30&lt;$G30-SUM($J30:K30),$E30*$G30,$G30-SUM($J30:K30)))</f>
        <v>0</v>
      </c>
      <c r="M30" s="35">
        <f>IF($D30&gt;M$3,0,IF($E30*$G30&lt;$G30-SUM($J30:L30),$E30*$G30,$G30-SUM($J30:L30)))</f>
        <v>0</v>
      </c>
      <c r="N30" s="35">
        <f>IF($D30&gt;N$3,0,IF($E30*$G30&lt;$G30-SUM($J30:M30),$E30*$G30,$G30-SUM($J30:M30)))</f>
        <v>0</v>
      </c>
      <c r="O30" s="35">
        <f>IF($D30&gt;O$3,0,IF($E30*$G30&lt;$G30-SUM($J30:N30),$E30*$G30,$G30-SUM($J30:N30)))</f>
        <v>0</v>
      </c>
      <c r="P30" s="83">
        <f>IF($D30&gt;P$3,0,IF($E30*$G30&lt;$G30-SUM($J30:O30),$E30*$G30,$G30-SUM($J30:O30)))</f>
        <v>0</v>
      </c>
    </row>
    <row r="31" spans="1:16" s="7" customFormat="1" ht="11.25">
      <c r="A31" s="224"/>
      <c r="B31" s="317" t="str">
        <f>INPUTS!B37</f>
        <v>Inmv. Intang. 6</v>
      </c>
      <c r="C31" s="258">
        <f>INPUTS!C37</f>
        <v>0</v>
      </c>
      <c r="D31" s="258">
        <f>INPUTS!D37</f>
        <v>1</v>
      </c>
      <c r="E31" s="272">
        <f>INPUTS!E37</f>
        <v>0.14000000000000001</v>
      </c>
      <c r="F31" s="272">
        <f>INPUTS!F37</f>
        <v>0.16</v>
      </c>
      <c r="G31" s="49">
        <f>C31*$H$2*(1+INPUTS!$C$4)^(D31-1)</f>
        <v>0</v>
      </c>
      <c r="H31" s="318">
        <f t="shared" si="3"/>
        <v>0</v>
      </c>
      <c r="J31" s="218">
        <f t="shared" si="2"/>
        <v>0</v>
      </c>
      <c r="K31" s="35">
        <f>IF($D31&gt;K$3,0,IF($E31*$G31&lt;$G31-SUM($J31:J31),$E31*$G31,$G31-SUM($J31:J31)))</f>
        <v>0</v>
      </c>
      <c r="L31" s="35">
        <f>IF($D31&gt;L$3,0,IF($E31*$G31&lt;$G31-SUM($J31:K31),$E31*$G31,$G31-SUM($J31:K31)))</f>
        <v>0</v>
      </c>
      <c r="M31" s="35">
        <f>IF($D31&gt;M$3,0,IF($E31*$G31&lt;$G31-SUM($J31:L31),$E31*$G31,$G31-SUM($J31:L31)))</f>
        <v>0</v>
      </c>
      <c r="N31" s="35">
        <f>IF($D31&gt;N$3,0,IF($E31*$G31&lt;$G31-SUM($J31:M31),$E31*$G31,$G31-SUM($J31:M31)))</f>
        <v>0</v>
      </c>
      <c r="O31" s="35">
        <f>IF($D31&gt;O$3,0,IF($E31*$G31&lt;$G31-SUM($J31:N31),$E31*$G31,$G31-SUM($J31:N31)))</f>
        <v>0</v>
      </c>
      <c r="P31" s="83">
        <f>IF($D31&gt;P$3,0,IF($E31*$G31&lt;$G31-SUM($J31:O31),$E31*$G31,$G31-SUM($J31:O31)))</f>
        <v>0</v>
      </c>
    </row>
    <row r="32" spans="1:16" s="7" customFormat="1" ht="11.25">
      <c r="A32" s="224"/>
      <c r="B32" s="317" t="str">
        <f>INPUTS!B38</f>
        <v>Inmv. Intang. 7</v>
      </c>
      <c r="C32" s="258">
        <f>INPUTS!C38</f>
        <v>0</v>
      </c>
      <c r="D32" s="258">
        <f>INPUTS!D38</f>
        <v>1</v>
      </c>
      <c r="E32" s="272">
        <f>INPUTS!E38</f>
        <v>0.14000000000000001</v>
      </c>
      <c r="F32" s="272">
        <f>INPUTS!F38</f>
        <v>0.16</v>
      </c>
      <c r="G32" s="49">
        <f>C32*$H$2*(1+INPUTS!$C$4)^(D32-1)</f>
        <v>0</v>
      </c>
      <c r="H32" s="318">
        <f t="shared" si="3"/>
        <v>0</v>
      </c>
      <c r="J32" s="218">
        <f t="shared" si="2"/>
        <v>0</v>
      </c>
      <c r="K32" s="35">
        <f>IF($D32&gt;K$3,0,IF($E32*$G32&lt;$G32-SUM($J32:J32),$E32*$G32,$G32-SUM($J32:J32)))</f>
        <v>0</v>
      </c>
      <c r="L32" s="35">
        <f>IF($D32&gt;L$3,0,IF($E32*$G32&lt;$G32-SUM($J32:K32),$E32*$G32,$G32-SUM($J32:K32)))</f>
        <v>0</v>
      </c>
      <c r="M32" s="35">
        <f>IF($D32&gt;M$3,0,IF($E32*$G32&lt;$G32-SUM($J32:L32),$E32*$G32,$G32-SUM($J32:L32)))</f>
        <v>0</v>
      </c>
      <c r="N32" s="35">
        <f>IF($D32&gt;N$3,0,IF($E32*$G32&lt;$G32-SUM($J32:M32),$E32*$G32,$G32-SUM($J32:M32)))</f>
        <v>0</v>
      </c>
      <c r="O32" s="35">
        <f>IF($D32&gt;O$3,0,IF($E32*$G32&lt;$G32-SUM($J32:N32),$E32*$G32,$G32-SUM($J32:N32)))</f>
        <v>0</v>
      </c>
      <c r="P32" s="83">
        <f>IF($D32&gt;P$3,0,IF($E32*$G32&lt;$G32-SUM($J32:O32),$E32*$G32,$G32-SUM($J32:O32)))</f>
        <v>0</v>
      </c>
    </row>
    <row r="33" spans="1:59" s="7" customFormat="1" ht="11.25">
      <c r="A33" s="224"/>
      <c r="B33" s="317" t="str">
        <f>INPUTS!B39</f>
        <v>Inmv. Intang. 8</v>
      </c>
      <c r="C33" s="258">
        <f>INPUTS!C39</f>
        <v>0</v>
      </c>
      <c r="D33" s="258">
        <f>INPUTS!D39</f>
        <v>1</v>
      </c>
      <c r="E33" s="272">
        <f>INPUTS!E39</f>
        <v>0.14000000000000001</v>
      </c>
      <c r="F33" s="272">
        <f>INPUTS!F39</f>
        <v>0.16</v>
      </c>
      <c r="G33" s="49">
        <f>C33*$H$2*(1+INPUTS!$C$4)^(D33-1)</f>
        <v>0</v>
      </c>
      <c r="H33" s="318">
        <f t="shared" si="3"/>
        <v>0</v>
      </c>
      <c r="J33" s="218">
        <f t="shared" si="2"/>
        <v>0</v>
      </c>
      <c r="K33" s="35">
        <f>IF($D33&gt;K$3,0,IF($E33*$G33&lt;$G33-SUM($J33:J33),$E33*$G33,$G33-SUM($J33:J33)))</f>
        <v>0</v>
      </c>
      <c r="L33" s="35">
        <f>IF($D33&gt;L$3,0,IF($E33*$G33&lt;$G33-SUM($J33:K33),$E33*$G33,$G33-SUM($J33:K33)))</f>
        <v>0</v>
      </c>
      <c r="M33" s="35">
        <f>IF($D33&gt;M$3,0,IF($E33*$G33&lt;$G33-SUM($J33:L33),$E33*$G33,$G33-SUM($J33:L33)))</f>
        <v>0</v>
      </c>
      <c r="N33" s="35">
        <f>IF($D33&gt;N$3,0,IF($E33*$G33&lt;$G33-SUM($J33:M33),$E33*$G33,$G33-SUM($J33:M33)))</f>
        <v>0</v>
      </c>
      <c r="O33" s="35">
        <f>IF($D33&gt;O$3,0,IF($E33*$G33&lt;$G33-SUM($J33:N33),$E33*$G33,$G33-SUM($J33:N33)))</f>
        <v>0</v>
      </c>
      <c r="P33" s="83">
        <f>IF($D33&gt;P$3,0,IF($E33*$G33&lt;$G33-SUM($J33:O33),$E33*$G33,$G33-SUM($J33:O33)))</f>
        <v>0</v>
      </c>
    </row>
    <row r="34" spans="1:59" s="7" customFormat="1" ht="11.25">
      <c r="A34" s="224"/>
      <c r="B34" s="317" t="str">
        <f>INPUTS!B40</f>
        <v>Inmv. Intang. 9</v>
      </c>
      <c r="C34" s="258">
        <f>INPUTS!C40</f>
        <v>0</v>
      </c>
      <c r="D34" s="258">
        <f>INPUTS!D40</f>
        <v>1</v>
      </c>
      <c r="E34" s="272">
        <f>INPUTS!E40</f>
        <v>0.14000000000000001</v>
      </c>
      <c r="F34" s="272">
        <f>INPUTS!F40</f>
        <v>0.16</v>
      </c>
      <c r="G34" s="49">
        <f>C34*$H$2*(1+INPUTS!$C$4)^(D34-1)</f>
        <v>0</v>
      </c>
      <c r="H34" s="318">
        <f t="shared" si="3"/>
        <v>0</v>
      </c>
      <c r="J34" s="218">
        <f t="shared" si="2"/>
        <v>0</v>
      </c>
      <c r="K34" s="35">
        <f>IF($D34&gt;K$3,0,IF($E34*$G34&lt;$G34-SUM($J34:J34),$E34*$G34,$G34-SUM($J34:J34)))</f>
        <v>0</v>
      </c>
      <c r="L34" s="35">
        <f>IF($D34&gt;L$3,0,IF($E34*$G34&lt;$G34-SUM($J34:K34),$E34*$G34,$G34-SUM($J34:K34)))</f>
        <v>0</v>
      </c>
      <c r="M34" s="35">
        <f>IF($D34&gt;M$3,0,IF($E34*$G34&lt;$G34-SUM($J34:L34),$E34*$G34,$G34-SUM($J34:L34)))</f>
        <v>0</v>
      </c>
      <c r="N34" s="35">
        <f>IF($D34&gt;N$3,0,IF($E34*$G34&lt;$G34-SUM($J34:M34),$E34*$G34,$G34-SUM($J34:M34)))</f>
        <v>0</v>
      </c>
      <c r="O34" s="35">
        <f>IF($D34&gt;O$3,0,IF($E34*$G34&lt;$G34-SUM($J34:N34),$E34*$G34,$G34-SUM($J34:N34)))</f>
        <v>0</v>
      </c>
      <c r="P34" s="83">
        <f>IF($D34&gt;P$3,0,IF($E34*$G34&lt;$G34-SUM($J34:O34),$E34*$G34,$G34-SUM($J34:O34)))</f>
        <v>0</v>
      </c>
    </row>
    <row r="35" spans="1:59" s="7" customFormat="1" ht="11.25">
      <c r="A35" s="224"/>
      <c r="B35" s="317" t="str">
        <f>INPUTS!B41</f>
        <v>Inmv. Intang. 10</v>
      </c>
      <c r="C35" s="258">
        <f>INPUTS!C41</f>
        <v>0</v>
      </c>
      <c r="D35" s="258">
        <f>INPUTS!D41</f>
        <v>8</v>
      </c>
      <c r="E35" s="272">
        <f>INPUTS!E41</f>
        <v>0.15</v>
      </c>
      <c r="F35" s="272">
        <f>INPUTS!F41</f>
        <v>0.16</v>
      </c>
      <c r="G35" s="49">
        <f>C35*$H$2*(1+INPUTS!$C$4)^(D35-1)</f>
        <v>0</v>
      </c>
      <c r="H35" s="318">
        <f>G35*F35</f>
        <v>0</v>
      </c>
      <c r="J35" s="218">
        <f t="shared" ref="J35:J41" si="4">IF(D35&gt;$J$3,0,E35*G35)</f>
        <v>0</v>
      </c>
      <c r="K35" s="35">
        <f>IF($D35&gt;K$3,0,IF($E35*$G35&lt;$G35-SUM($J35:J35),$E35*$G35,$G35-SUM($J35:J35)))</f>
        <v>0</v>
      </c>
      <c r="L35" s="35">
        <f>IF($D35&gt;L$3,0,IF($E35*$G35&lt;$G35-SUM($J35:K35),$E35*$G35,$G35-SUM($J35:K35)))</f>
        <v>0</v>
      </c>
      <c r="M35" s="35">
        <f>IF($D35&gt;M$3,0,IF($E35*$G35&lt;$G35-SUM($J35:L35),$E35*$G35,$G35-SUM($J35:L35)))</f>
        <v>0</v>
      </c>
      <c r="N35" s="35">
        <f>IF($D35&gt;N$3,0,IF($E35*$G35&lt;$G35-SUM($J35:M35),$E35*$G35,$G35-SUM($J35:M35)))</f>
        <v>0</v>
      </c>
      <c r="O35" s="35">
        <f>IF($D35&gt;O$3,0,IF($E35*$G35&lt;$G35-SUM($J35:N35),$E35*$G35,$G35-SUM($J35:N35)))</f>
        <v>0</v>
      </c>
      <c r="P35" s="83">
        <f>IF($D35&gt;P$3,0,IF($E35*$G35&lt;$G35-SUM($J35:O35),$E35*$G35,$G35-SUM($J35:O35)))</f>
        <v>0</v>
      </c>
    </row>
    <row r="36" spans="1:59" s="7" customFormat="1" ht="11.25">
      <c r="A36" s="224"/>
      <c r="B36" s="317" t="s">
        <v>229</v>
      </c>
      <c r="C36" s="347">
        <f>INCO!D59</f>
        <v>5220</v>
      </c>
      <c r="D36" s="347">
        <v>2</v>
      </c>
      <c r="E36" s="348">
        <v>0.2</v>
      </c>
      <c r="F36" s="272"/>
      <c r="G36" s="49">
        <f t="shared" ref="G36:G42" si="5">C36</f>
        <v>5220</v>
      </c>
      <c r="H36" s="318"/>
      <c r="J36" s="218">
        <f t="shared" si="4"/>
        <v>0</v>
      </c>
      <c r="K36" s="35">
        <f>IF($D36&gt;K$3,0,IF($E36*$G36&lt;$G36-SUM($J36:J36),$E36*$G36,$G36-SUM($J36:J36)))</f>
        <v>1044</v>
      </c>
      <c r="L36" s="35">
        <f>IF($D36&gt;L$3,0,IF($E36*$G36&lt;$G36-SUM($J36:K36),$E36*$G36,$G36-SUM($J36:K36)))</f>
        <v>1044</v>
      </c>
      <c r="M36" s="35">
        <f>IF($D36&gt;M$3,0,IF($E36*$G36&lt;$G36-SUM($J36:L36),$E36*$G36,$G36-SUM($J36:L36)))</f>
        <v>1044</v>
      </c>
      <c r="N36" s="35">
        <f>IF($D36&gt;N$3,0,IF($E36*$G36&lt;$G36-SUM($J36:M36),$E36*$G36,$G36-SUM($J36:M36)))</f>
        <v>1044</v>
      </c>
      <c r="O36" s="35">
        <f>IF($D36&gt;O$3,0,IF($E36*$G36&lt;$G36-SUM($J36:N36),$E36*$G36,$G36-SUM($J36:N36)))</f>
        <v>1044</v>
      </c>
      <c r="P36" s="83">
        <f>IF($D36&gt;P$3,0,IF($E36*$G36&lt;$G36-SUM($J36:O36),$E36*$G36,$G36-SUM($J36:O36)))</f>
        <v>0</v>
      </c>
    </row>
    <row r="37" spans="1:59" s="7" customFormat="1" ht="11.25">
      <c r="A37" s="224"/>
      <c r="B37" s="317" t="s">
        <v>230</v>
      </c>
      <c r="C37" s="347">
        <f>INCO!E59</f>
        <v>5658</v>
      </c>
      <c r="D37" s="347">
        <v>3</v>
      </c>
      <c r="E37" s="348">
        <v>0.2</v>
      </c>
      <c r="F37" s="272"/>
      <c r="G37" s="49">
        <f t="shared" si="5"/>
        <v>5658</v>
      </c>
      <c r="H37" s="318"/>
      <c r="J37" s="218">
        <f t="shared" si="4"/>
        <v>0</v>
      </c>
      <c r="K37" s="35">
        <f>IF($D37&gt;K$3,0,IF($E37*$G37&lt;$G37-SUM($J37:J37),$E37*$G37,$G37-SUM($J37:J37)))</f>
        <v>0</v>
      </c>
      <c r="L37" s="35">
        <f>IF($D37&gt;L$3,0,IF($E37*$G37&lt;$G37-SUM($J37:K37),$E37*$G37,$G37-SUM($J37:K37)))</f>
        <v>1131.6000000000001</v>
      </c>
      <c r="M37" s="35">
        <f>IF($D37&gt;M$3,0,IF($E37*$G37&lt;$G37-SUM($J37:L37),$E37*$G37,$G37-SUM($J37:L37)))</f>
        <v>1131.6000000000001</v>
      </c>
      <c r="N37" s="35">
        <f>IF($D37&gt;N$3,0,IF($E37*$G37&lt;$G37-SUM($J37:M37),$E37*$G37,$G37-SUM($J37:M37)))</f>
        <v>1131.6000000000001</v>
      </c>
      <c r="O37" s="35">
        <f>IF($D37&gt;O$3,0,IF($E37*$G37&lt;$G37-SUM($J37:N37),$E37*$G37,$G37-SUM($J37:N37)))</f>
        <v>1131.6000000000001</v>
      </c>
      <c r="P37" s="83">
        <f>IF($D37&gt;P$3,0,IF($E37*$G37&lt;$G37-SUM($J37:O37),$E37*$G37,$G37-SUM($J37:O37)))</f>
        <v>1131.5999999999995</v>
      </c>
    </row>
    <row r="38" spans="1:59" s="7" customFormat="1" ht="11.25">
      <c r="A38" s="224"/>
      <c r="B38" s="317" t="s">
        <v>231</v>
      </c>
      <c r="C38" s="347">
        <f>INCO!F59</f>
        <v>5799.45</v>
      </c>
      <c r="D38" s="347">
        <v>4</v>
      </c>
      <c r="E38" s="348">
        <v>0.2</v>
      </c>
      <c r="F38" s="272"/>
      <c r="G38" s="49">
        <f t="shared" si="5"/>
        <v>5799.45</v>
      </c>
      <c r="H38" s="318"/>
      <c r="J38" s="218">
        <f t="shared" si="4"/>
        <v>0</v>
      </c>
      <c r="K38" s="35">
        <f>IF($D38&gt;K$3,0,IF($E38*$G38&lt;$G38-SUM($J38:J38),$E38*$G38,$G38-SUM($J38:J38)))</f>
        <v>0</v>
      </c>
      <c r="L38" s="35">
        <f>IF($D38&gt;L$3,0,IF($E38*$G38&lt;$G38-SUM($J38:K38),$E38*$G38,$G38-SUM($J38:K38)))</f>
        <v>0</v>
      </c>
      <c r="M38" s="35">
        <f>IF($D38&gt;M$3,0,IF($E38*$G38&lt;$G38-SUM($J38:L38),$E38*$G38,$G38-SUM($J38:L38)))</f>
        <v>1159.8900000000001</v>
      </c>
      <c r="N38" s="35">
        <f>IF($D38&gt;N$3,0,IF($E38*$G38&lt;$G38-SUM($J38:M38),$E38*$G38,$G38-SUM($J38:M38)))</f>
        <v>1159.8900000000001</v>
      </c>
      <c r="O38" s="35">
        <f>IF($D38&gt;O$3,0,IF($E38*$G38&lt;$G38-SUM($J38:N38),$E38*$G38,$G38-SUM($J38:N38)))</f>
        <v>1159.8900000000001</v>
      </c>
      <c r="P38" s="83">
        <f>IF($D38&gt;P$3,0,IF($E38*$G38&lt;$G38-SUM($J38:O38),$E38*$G38,$G38-SUM($J38:O38)))</f>
        <v>1159.8900000000001</v>
      </c>
    </row>
    <row r="39" spans="1:59" s="7" customFormat="1" ht="11.25">
      <c r="A39" s="224"/>
      <c r="B39" s="317" t="s">
        <v>232</v>
      </c>
      <c r="C39" s="347">
        <f>INCO!G59</f>
        <v>5944.4362499999988</v>
      </c>
      <c r="D39" s="347">
        <v>5</v>
      </c>
      <c r="E39" s="348">
        <v>0.2</v>
      </c>
      <c r="F39" s="272"/>
      <c r="G39" s="49">
        <f t="shared" si="5"/>
        <v>5944.4362499999988</v>
      </c>
      <c r="H39" s="318"/>
      <c r="J39" s="218">
        <f t="shared" si="4"/>
        <v>0</v>
      </c>
      <c r="K39" s="35">
        <f>IF($D39&gt;K$3,0,IF($E39*$G39&lt;$G39-SUM($J39:J39),$E39*$G39,$G39-SUM($J39:J39)))</f>
        <v>0</v>
      </c>
      <c r="L39" s="35">
        <f>IF($D39&gt;L$3,0,IF($E39*$G39&lt;$G39-SUM($J39:K39),$E39*$G39,$G39-SUM($J39:K39)))</f>
        <v>0</v>
      </c>
      <c r="M39" s="35">
        <f>IF($D39&gt;M$3,0,IF($E39*$G39&lt;$G39-SUM($J39:L39),$E39*$G39,$G39-SUM($J39:L39)))</f>
        <v>0</v>
      </c>
      <c r="N39" s="35">
        <f>IF($D39&gt;N$3,0,IF($E39*$G39&lt;$G39-SUM($J39:M39),$E39*$G39,$G39-SUM($J39:M39)))</f>
        <v>1188.8872499999998</v>
      </c>
      <c r="O39" s="35">
        <f>IF($D39&gt;O$3,0,IF($E39*$G39&lt;$G39-SUM($J39:N39),$E39*$G39,$G39-SUM($J39:N39)))</f>
        <v>1188.8872499999998</v>
      </c>
      <c r="P39" s="83">
        <f>IF($D39&gt;P$3,0,IF($E39*$G39&lt;$G39-SUM($J39:O39),$E39*$G39,$G39-SUM($J39:O39)))</f>
        <v>1188.8872499999998</v>
      </c>
    </row>
    <row r="40" spans="1:59" s="7" customFormat="1" ht="11.25">
      <c r="A40" s="224"/>
      <c r="B40" s="317" t="s">
        <v>233</v>
      </c>
      <c r="C40" s="347">
        <f>INCO!H59</f>
        <v>6093.0471562499979</v>
      </c>
      <c r="D40" s="347">
        <v>6</v>
      </c>
      <c r="E40" s="348">
        <v>0.2</v>
      </c>
      <c r="F40" s="272"/>
      <c r="G40" s="49">
        <f t="shared" si="5"/>
        <v>6093.0471562499979</v>
      </c>
      <c r="H40" s="318"/>
      <c r="J40" s="218">
        <f t="shared" si="4"/>
        <v>0</v>
      </c>
      <c r="K40" s="35">
        <f>IF($D40&gt;K$3,0,IF($E40*$G40&lt;$G40-SUM($J40:J40),$E40*$G40,$G40-SUM($J40:J40)))</f>
        <v>0</v>
      </c>
      <c r="L40" s="35">
        <f>IF($D40&gt;L$3,0,IF($E40*$G40&lt;$G40-SUM($J40:K40),$E40*$G40,$G40-SUM($J40:K40)))</f>
        <v>0</v>
      </c>
      <c r="M40" s="35">
        <f>IF($D40&gt;M$3,0,IF($E40*$G40&lt;$G40-SUM($J40:L40),$E40*$G40,$G40-SUM($J40:L40)))</f>
        <v>0</v>
      </c>
      <c r="N40" s="35">
        <f>IF($D40&gt;N$3,0,IF($E40*$G40&lt;$G40-SUM($J40:M40),$E40*$G40,$G40-SUM($J40:M40)))</f>
        <v>0</v>
      </c>
      <c r="O40" s="35">
        <f>IF($D40&gt;O$3,0,IF($E40*$G40&lt;$G40-SUM($J40:N40),$E40*$G40,$G40-SUM($J40:N40)))</f>
        <v>1218.6094312499997</v>
      </c>
      <c r="P40" s="83">
        <f>IF($D40&gt;P$3,0,IF($E40*$G40&lt;$G40-SUM($J40:O40),$E40*$G40,$G40-SUM($J40:O40)))</f>
        <v>1218.6094312499997</v>
      </c>
    </row>
    <row r="41" spans="1:59" s="7" customFormat="1" ht="11.25">
      <c r="A41" s="224"/>
      <c r="B41" s="317" t="s">
        <v>234</v>
      </c>
      <c r="C41" s="347">
        <f>INCO!I59</f>
        <v>6245.3733351562469</v>
      </c>
      <c r="D41" s="347">
        <v>7</v>
      </c>
      <c r="E41" s="348">
        <v>0.2</v>
      </c>
      <c r="F41" s="272"/>
      <c r="G41" s="49">
        <f t="shared" si="5"/>
        <v>6245.3733351562469</v>
      </c>
      <c r="H41" s="318"/>
      <c r="J41" s="218">
        <f t="shared" si="4"/>
        <v>0</v>
      </c>
      <c r="K41" s="35">
        <f>IF($D41&gt;K$3,0,IF($E41*$G41&lt;$G41-SUM($J41:J41),$E41*$G41,$G41-SUM($J41:J41)))</f>
        <v>0</v>
      </c>
      <c r="L41" s="35">
        <f>IF($D41&gt;L$3,0,IF($E41*$G41&lt;$G41-SUM($J41:K41),$E41*$G41,$G41-SUM($J41:K41)))</f>
        <v>0</v>
      </c>
      <c r="M41" s="35">
        <f>IF($D41&gt;M$3,0,IF($E41*$G41&lt;$G41-SUM($J41:L41),$E41*$G41,$G41-SUM($J41:L41)))</f>
        <v>0</v>
      </c>
      <c r="N41" s="35">
        <f>IF($D41&gt;N$3,0,IF($E41*$G41&lt;$G41-SUM($J41:M41),$E41*$G41,$G41-SUM($J41:M41)))</f>
        <v>0</v>
      </c>
      <c r="O41" s="35">
        <f>IF($D41&gt;O$3,0,IF($E41*$G41&lt;$G41-SUM($J41:N41),$E41*$G41,$G41-SUM($J41:N41)))</f>
        <v>0</v>
      </c>
      <c r="P41" s="83">
        <f>IF($D41&gt;P$3,0,IF($E41*$G41&lt;$G41-SUM($J41:O41),$E41*$G41,$G41-SUM($J41:O41)))</f>
        <v>1249.0746670312494</v>
      </c>
    </row>
    <row r="42" spans="1:59" s="7" customFormat="1" ht="12" thickBot="1">
      <c r="A42" s="224"/>
      <c r="B42" s="319" t="s">
        <v>235</v>
      </c>
      <c r="C42" s="349">
        <f>INCO!J59</f>
        <v>6401.5076685351532</v>
      </c>
      <c r="D42" s="349">
        <v>8</v>
      </c>
      <c r="E42" s="350">
        <v>0.2</v>
      </c>
      <c r="F42" s="320"/>
      <c r="G42" s="321">
        <f t="shared" si="5"/>
        <v>6401.5076685351532</v>
      </c>
      <c r="H42" s="135"/>
      <c r="J42" s="323">
        <f t="shared" si="2"/>
        <v>0</v>
      </c>
      <c r="K42" s="34">
        <f>IF($D42&gt;K$3,0,IF($E42*$G42&lt;$G42-SUM($J42:J42),$E42*$G42,$G42-SUM($J42:J42)))</f>
        <v>0</v>
      </c>
      <c r="L42" s="34">
        <f>IF($D42&gt;L$3,0,IF($E42*$G42&lt;$G42-SUM($J42:K42),$E42*$G42,$G42-SUM($J42:K42)))</f>
        <v>0</v>
      </c>
      <c r="M42" s="34">
        <f>IF($D42&gt;M$3,0,IF($E42*$G42&lt;$G42-SUM($J42:L42),$E42*$G42,$G42-SUM($J42:L42)))</f>
        <v>0</v>
      </c>
      <c r="N42" s="34">
        <f>IF($D42&gt;N$3,0,IF($E42*$G42&lt;$G42-SUM($J42:M42),$E42*$G42,$G42-SUM($J42:M42)))</f>
        <v>0</v>
      </c>
      <c r="O42" s="34">
        <f>IF($D42&gt;O$3,0,IF($E42*$G42&lt;$G42-SUM($J42:N42),$E42*$G42,$G42-SUM($J42:N42)))</f>
        <v>0</v>
      </c>
      <c r="P42" s="93">
        <f>IF($D42&gt;P$3,0,IF($E42*$G42&lt;$G42-SUM($J42:O42),$E42*$G42,$G42-SUM($J42:O42)))</f>
        <v>0</v>
      </c>
    </row>
    <row r="43" spans="1:59" s="23" customFormat="1" ht="11.25">
      <c r="A43" s="3"/>
      <c r="B43" s="81"/>
      <c r="C43" s="26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170"/>
      <c r="Q43" s="7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</row>
    <row r="44" spans="1:59" s="15" customFormat="1" ht="11.25">
      <c r="A44" s="3"/>
      <c r="B44" s="84"/>
      <c r="C44" s="29"/>
      <c r="I44" s="29"/>
      <c r="J44" s="39"/>
      <c r="K44" s="39"/>
      <c r="L44" s="39"/>
      <c r="M44" s="39"/>
      <c r="N44" s="39"/>
      <c r="O44" s="39"/>
      <c r="P44" s="171"/>
      <c r="Q44" s="7"/>
    </row>
    <row r="45" spans="1:59" s="23" customFormat="1" ht="11.25">
      <c r="A45" s="3"/>
      <c r="B45" s="223"/>
      <c r="C45" s="29"/>
      <c r="D45" s="15"/>
      <c r="E45" s="15"/>
      <c r="F45" s="15"/>
      <c r="G45" s="15"/>
      <c r="H45" s="15"/>
      <c r="I45" s="29" t="s">
        <v>148</v>
      </c>
      <c r="J45" s="38">
        <f>SUM(J5:J24)</f>
        <v>13384.4</v>
      </c>
      <c r="K45" s="38">
        <f t="shared" ref="K45:P45" si="6">SUM(K5:K24)</f>
        <v>83494.39999999998</v>
      </c>
      <c r="L45" s="38">
        <f t="shared" si="6"/>
        <v>174268.39999999997</v>
      </c>
      <c r="M45" s="38">
        <f t="shared" si="6"/>
        <v>174268.39999999997</v>
      </c>
      <c r="N45" s="38">
        <f t="shared" si="6"/>
        <v>169268.39999999997</v>
      </c>
      <c r="O45" s="38">
        <f t="shared" si="6"/>
        <v>163228.39999999997</v>
      </c>
      <c r="P45" s="85">
        <f t="shared" si="6"/>
        <v>132013.4</v>
      </c>
      <c r="Q45" s="22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</row>
    <row r="46" spans="1:59" s="23" customFormat="1" ht="11.25">
      <c r="A46" s="3"/>
      <c r="B46" s="223"/>
      <c r="C46" s="29"/>
      <c r="D46" s="15"/>
      <c r="E46" s="15"/>
      <c r="F46" s="15"/>
      <c r="G46" s="15"/>
      <c r="H46" s="15"/>
      <c r="I46" s="29" t="s">
        <v>149</v>
      </c>
      <c r="J46" s="38">
        <f>SUM(J26:J42)</f>
        <v>24000</v>
      </c>
      <c r="K46" s="38">
        <f t="shared" ref="K46:P46" si="7">SUM(K26:K42)</f>
        <v>25044</v>
      </c>
      <c r="L46" s="38">
        <f t="shared" si="7"/>
        <v>26190.30875</v>
      </c>
      <c r="M46" s="38">
        <f t="shared" si="7"/>
        <v>27365.275218750001</v>
      </c>
      <c r="N46" s="38">
        <f t="shared" si="7"/>
        <v>28554.162468750001</v>
      </c>
      <c r="O46" s="38">
        <f t="shared" si="7"/>
        <v>29772.7719</v>
      </c>
      <c r="P46" s="85">
        <f t="shared" si="7"/>
        <v>15577.846567031245</v>
      </c>
      <c r="Q46" s="22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</row>
    <row r="47" spans="1:59" ht="12.75" customHeight="1" thickBot="1">
      <c r="B47" s="86"/>
      <c r="C47" s="58"/>
      <c r="D47" s="87"/>
      <c r="E47" s="87"/>
      <c r="F47" s="9"/>
      <c r="G47" s="9"/>
      <c r="H47" s="88"/>
      <c r="I47" s="163" t="s">
        <v>48</v>
      </c>
      <c r="J47" s="89">
        <f t="shared" ref="J47:P47" si="8">SUM(J45:J46)</f>
        <v>37384.400000000001</v>
      </c>
      <c r="K47" s="89">
        <f t="shared" si="8"/>
        <v>108538.39999999998</v>
      </c>
      <c r="L47" s="89">
        <f t="shared" si="8"/>
        <v>200458.70874999996</v>
      </c>
      <c r="M47" s="89">
        <f t="shared" si="8"/>
        <v>201633.67521874997</v>
      </c>
      <c r="N47" s="89">
        <f t="shared" si="8"/>
        <v>197822.56246874997</v>
      </c>
      <c r="O47" s="89">
        <f t="shared" si="8"/>
        <v>193001.17189999996</v>
      </c>
      <c r="P47" s="90">
        <f t="shared" si="8"/>
        <v>147591.24656703125</v>
      </c>
      <c r="Q47" s="22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3"/>
      <c r="AY47" s="13"/>
      <c r="AZ47" s="13"/>
      <c r="BA47" s="13"/>
      <c r="BB47" s="13"/>
      <c r="BC47" s="13"/>
      <c r="BD47" s="13"/>
      <c r="BE47" s="13"/>
      <c r="BF47" s="13"/>
      <c r="BG47" s="13"/>
    </row>
    <row r="48" spans="1:59" ht="12.75" customHeight="1"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22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3"/>
      <c r="AY48" s="13"/>
      <c r="AZ48" s="13"/>
      <c r="BA48" s="13"/>
      <c r="BB48" s="13"/>
      <c r="BC48" s="13"/>
      <c r="BD48" s="13"/>
      <c r="BE48" s="13"/>
      <c r="BF48" s="13"/>
      <c r="BG48" s="13"/>
    </row>
    <row r="49" spans="1:59" ht="11.25">
      <c r="C49" s="3"/>
      <c r="F49" s="3"/>
      <c r="G49" s="3"/>
      <c r="H49" s="3"/>
      <c r="I49" s="21"/>
      <c r="Q49" s="3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3"/>
      <c r="AY49" s="13"/>
      <c r="AZ49" s="13"/>
      <c r="BA49" s="13"/>
      <c r="BB49" s="13"/>
      <c r="BC49" s="13"/>
      <c r="BD49" s="13"/>
      <c r="BE49" s="13"/>
      <c r="BF49" s="13"/>
      <c r="BG49" s="13"/>
    </row>
    <row r="50" spans="1:59" s="205" customFormat="1">
      <c r="D50" s="174" t="s">
        <v>138</v>
      </c>
      <c r="E50" s="174"/>
      <c r="F50" s="10"/>
      <c r="G50" s="10"/>
      <c r="H50" s="230"/>
      <c r="R50" s="141"/>
      <c r="S50" s="141"/>
      <c r="T50" s="141"/>
      <c r="U50" s="141"/>
      <c r="V50" s="141"/>
      <c r="W50" s="141"/>
      <c r="X50" s="141"/>
      <c r="Y50" s="141"/>
      <c r="Z50" s="141"/>
      <c r="AA50" s="141"/>
      <c r="AB50" s="141"/>
      <c r="AC50" s="141"/>
      <c r="AD50" s="141"/>
      <c r="AE50" s="141"/>
      <c r="AF50" s="141"/>
      <c r="AG50" s="141"/>
      <c r="AH50" s="141"/>
      <c r="AI50" s="141"/>
      <c r="AJ50" s="141"/>
      <c r="AK50" s="141"/>
      <c r="AL50" s="141"/>
      <c r="AM50" s="141"/>
      <c r="AN50" s="141"/>
      <c r="AO50" s="141"/>
      <c r="AP50" s="141"/>
      <c r="AQ50" s="141"/>
      <c r="AR50" s="141"/>
      <c r="AS50" s="141"/>
      <c r="AT50" s="141"/>
      <c r="AU50" s="141"/>
      <c r="AV50" s="141"/>
      <c r="AW50" s="141"/>
      <c r="AX50" s="206"/>
      <c r="AY50" s="206"/>
    </row>
    <row r="51" spans="1:59" s="205" customFormat="1" ht="12" thickBot="1">
      <c r="R51" s="141"/>
      <c r="S51" s="141"/>
      <c r="T51" s="141"/>
      <c r="U51" s="141"/>
      <c r="V51" s="141"/>
      <c r="W51" s="141"/>
      <c r="X51" s="141"/>
      <c r="Y51" s="141"/>
      <c r="Z51" s="141"/>
      <c r="AA51" s="141"/>
      <c r="AB51" s="141"/>
      <c r="AC51" s="141"/>
      <c r="AD51" s="141"/>
      <c r="AE51" s="141"/>
      <c r="AF51" s="141"/>
      <c r="AG51" s="141"/>
      <c r="AH51" s="141"/>
      <c r="AI51" s="141"/>
      <c r="AJ51" s="141"/>
      <c r="AK51" s="141"/>
      <c r="AL51" s="141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206"/>
      <c r="AY51" s="206"/>
    </row>
    <row r="52" spans="1:59" s="12" customFormat="1" ht="12" thickBot="1">
      <c r="A52" s="205"/>
      <c r="B52" s="227"/>
      <c r="C52" s="228">
        <f>J3</f>
        <v>1</v>
      </c>
      <c r="D52" s="228">
        <f>C52+1</f>
        <v>2</v>
      </c>
      <c r="E52" s="228">
        <f t="shared" ref="E52:J52" si="9">D52+1</f>
        <v>3</v>
      </c>
      <c r="F52" s="228">
        <f t="shared" si="9"/>
        <v>4</v>
      </c>
      <c r="G52" s="228">
        <f t="shared" si="9"/>
        <v>5</v>
      </c>
      <c r="H52" s="228">
        <f t="shared" si="9"/>
        <v>6</v>
      </c>
      <c r="I52" s="228">
        <f t="shared" si="9"/>
        <v>7</v>
      </c>
      <c r="J52" s="228">
        <f t="shared" si="9"/>
        <v>8</v>
      </c>
      <c r="K52" s="205"/>
      <c r="L52" s="205"/>
      <c r="M52" s="205"/>
      <c r="N52" s="205"/>
      <c r="O52" s="205"/>
      <c r="P52" s="205"/>
      <c r="Q52" s="1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66"/>
      <c r="AY52" s="166"/>
    </row>
    <row r="53" spans="1:59" ht="11.25">
      <c r="A53" s="205"/>
      <c r="B53" s="81" t="str">
        <f>B4</f>
        <v>INMOVILIZADO TANGIBLE</v>
      </c>
      <c r="C53" s="35">
        <f>SUMIF($D$5:$D$24,C$52,$G$5:$G$24)</f>
        <v>125920</v>
      </c>
      <c r="D53" s="35">
        <f t="shared" ref="D53:J53" si="10">SUMIF($D$5:$D$24,D$52,$G$5:$G$24)</f>
        <v>389499.99999999994</v>
      </c>
      <c r="E53" s="35">
        <f t="shared" si="10"/>
        <v>609362.49999999988</v>
      </c>
      <c r="F53" s="35">
        <f t="shared" si="10"/>
        <v>0</v>
      </c>
      <c r="G53" s="35">
        <f t="shared" si="10"/>
        <v>0</v>
      </c>
      <c r="H53" s="35">
        <f t="shared" si="10"/>
        <v>0</v>
      </c>
      <c r="I53" s="35">
        <f t="shared" si="10"/>
        <v>0</v>
      </c>
      <c r="J53" s="35">
        <f t="shared" si="10"/>
        <v>0</v>
      </c>
      <c r="K53" s="205"/>
      <c r="L53" s="205"/>
      <c r="M53" s="205"/>
      <c r="N53" s="205"/>
      <c r="O53" s="205"/>
      <c r="P53" s="205"/>
      <c r="Q53" s="1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</row>
    <row r="54" spans="1:59" ht="11.25">
      <c r="A54" s="205"/>
      <c r="B54" s="81" t="str">
        <f>B25</f>
        <v>INMOVILIZADO INTANGIBLE</v>
      </c>
      <c r="C54" s="35">
        <f>SUMIF($D$26:$D$42,C$52,$G$26:$G$42)</f>
        <v>280000</v>
      </c>
      <c r="D54" s="35">
        <f t="shared" ref="D54:J54" si="11">SUMIF($D$26:$D$42,D$52,$G$26:$G$42)</f>
        <v>5220</v>
      </c>
      <c r="E54" s="35">
        <f t="shared" si="11"/>
        <v>5763.0625</v>
      </c>
      <c r="F54" s="35">
        <f t="shared" si="11"/>
        <v>5907.1390624999995</v>
      </c>
      <c r="G54" s="35">
        <f t="shared" si="11"/>
        <v>5944.4362499999988</v>
      </c>
      <c r="H54" s="35">
        <f t="shared" si="11"/>
        <v>6093.0471562499979</v>
      </c>
      <c r="I54" s="35">
        <f t="shared" si="11"/>
        <v>6245.3733351562469</v>
      </c>
      <c r="J54" s="35">
        <f t="shared" si="11"/>
        <v>6401.5076685351532</v>
      </c>
      <c r="K54" s="205"/>
      <c r="L54" s="205"/>
      <c r="M54" s="205"/>
      <c r="N54" s="205"/>
      <c r="O54" s="205"/>
      <c r="P54" s="205"/>
      <c r="Q54" s="1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</row>
    <row r="55" spans="1:59" s="12" customFormat="1" ht="12" thickBot="1">
      <c r="A55" s="205"/>
      <c r="B55" s="229" t="s">
        <v>96</v>
      </c>
      <c r="C55" s="226">
        <f t="shared" ref="C55:I55" si="12">SUM(C53:C54)</f>
        <v>405920</v>
      </c>
      <c r="D55" s="226">
        <f t="shared" si="12"/>
        <v>394719.99999999994</v>
      </c>
      <c r="E55" s="226">
        <f t="shared" si="12"/>
        <v>615125.56249999988</v>
      </c>
      <c r="F55" s="226">
        <f t="shared" si="12"/>
        <v>5907.1390624999995</v>
      </c>
      <c r="G55" s="226">
        <f t="shared" si="12"/>
        <v>5944.4362499999988</v>
      </c>
      <c r="H55" s="226">
        <f t="shared" si="12"/>
        <v>6093.0471562499979</v>
      </c>
      <c r="I55" s="226">
        <f t="shared" si="12"/>
        <v>6245.3733351562469</v>
      </c>
      <c r="J55" s="226">
        <f>SUM(J53:J54)</f>
        <v>6401.5076685351532</v>
      </c>
      <c r="K55" s="205"/>
      <c r="L55" s="205"/>
      <c r="M55" s="205"/>
      <c r="N55" s="205"/>
      <c r="O55" s="205"/>
      <c r="P55" s="205"/>
      <c r="Q55" s="1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</row>
    <row r="56" spans="1:59" ht="13.5" thickBot="1">
      <c r="A56" s="205"/>
      <c r="J56" s="13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</row>
    <row r="57" spans="1:59" ht="12" thickBot="1">
      <c r="A57" s="205"/>
      <c r="B57" s="227" t="s">
        <v>93</v>
      </c>
      <c r="C57" s="245">
        <f>SUMIF($D$5:$D$42,C$52,$H$5:$H$42)</f>
        <v>52697.2</v>
      </c>
      <c r="D57" s="245">
        <f t="shared" ref="D57:J57" si="13">SUMIF($D$5:$D$42,D$52,$H$5:$H$42)</f>
        <v>62319.999999999993</v>
      </c>
      <c r="E57" s="245">
        <f t="shared" si="13"/>
        <v>86168.059999999983</v>
      </c>
      <c r="F57" s="245">
        <f t="shared" si="13"/>
        <v>17.230249999999998</v>
      </c>
      <c r="G57" s="245">
        <f t="shared" si="13"/>
        <v>0</v>
      </c>
      <c r="H57" s="245">
        <f t="shared" si="13"/>
        <v>0</v>
      </c>
      <c r="I57" s="245">
        <f t="shared" si="13"/>
        <v>0</v>
      </c>
      <c r="J57" s="245">
        <f t="shared" si="13"/>
        <v>0</v>
      </c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</row>
    <row r="58" spans="1:59"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</row>
    <row r="59" spans="1:59"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</row>
    <row r="60" spans="1:59"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</row>
    <row r="61" spans="1:59"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</row>
    <row r="62" spans="1:59"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</row>
    <row r="63" spans="1:59"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</row>
    <row r="64" spans="1:59"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</row>
    <row r="65" spans="18:49"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</row>
    <row r="66" spans="18:49"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</row>
    <row r="67" spans="18:49"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</row>
    <row r="68" spans="18:49"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</row>
    <row r="69" spans="18:49"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</row>
    <row r="70" spans="18:49"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</row>
    <row r="71" spans="18:49"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</row>
    <row r="72" spans="18:49"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</row>
    <row r="73" spans="18:49"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</row>
    <row r="74" spans="18:49"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</row>
  </sheetData>
  <customSheetViews>
    <customSheetView guid="{D4D7EB24-CC17-11D2-866F-0020AFB54048}" showRuler="0" topLeftCell="G1">
      <selection activeCell="I2" sqref="I2"/>
      <pageMargins left="0.25" right="0.25" top="1.1299999999999999" bottom="0.91" header="0.25" footer="0.26"/>
      <printOptions headings="1"/>
      <pageSetup paperSize="9" orientation="landscape" horizontalDpi="300" verticalDpi="300" r:id="rId1"/>
      <headerFooter alignWithMargins="0">
        <oddHeader>&amp;A</oddHeader>
        <oddFooter>&amp;LMODELEVA&amp;CDEPTO.ECONOMIA FINANCIERA&amp;RUNIVERSIDAD DE SANTIAGO</oddFooter>
      </headerFooter>
    </customSheetView>
    <customSheetView guid="{D4D7EB23-CC17-11D2-866F-0020AFB54048}" showRuler="0" topLeftCell="G1">
      <selection activeCell="I2" sqref="I2"/>
      <pageMargins left="0.25" right="0.25" top="1.1299999999999999" bottom="0.91" header="0.25" footer="0.26"/>
      <printOptions headings="1"/>
      <pageSetup paperSize="9" orientation="landscape" horizontalDpi="300" verticalDpi="300" r:id="rId2"/>
      <headerFooter alignWithMargins="0">
        <oddHeader>&amp;A</oddHeader>
        <oddFooter>&amp;LMODELEVA&amp;CDEPTO.ECONOMIA FINANCIERA&amp;RUNIVERSIDAD DE SANTIAGO</oddFooter>
      </headerFooter>
    </customSheetView>
  </customSheetViews>
  <phoneticPr fontId="4" type="noConversion"/>
  <printOptions headings="1"/>
  <pageMargins left="0.34" right="0.35433070866141736" top="0.94488188976377963" bottom="0.98425196850393704" header="0.51181102362204722" footer="0.51181102362204722"/>
  <pageSetup paperSize="9" orientation="landscape" horizontalDpi="300" verticalDpi="300" r:id="rId3"/>
  <headerFooter alignWithMargins="0">
    <oddHeader>&amp;A</oddHeader>
    <oddFooter>&amp;C&amp;F&amp;R&amp;D</oddFooter>
  </headerFooter>
  <drawing r:id="rId4"/>
  <legacy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5">
    <pageSetUpPr autoPageBreaks="0"/>
  </sheetPr>
  <dimension ref="A1:CC143"/>
  <sheetViews>
    <sheetView showGridLines="0" workbookViewId="0">
      <pane ySplit="4" topLeftCell="A29" activePane="bottomLeft" state="frozen"/>
      <selection pane="bottomLeft" activeCell="B92" sqref="B92"/>
    </sheetView>
  </sheetViews>
  <sheetFormatPr baseColWidth="10" defaultRowHeight="11.25" outlineLevelRow="1"/>
  <cols>
    <col min="1" max="1" width="10.85546875" style="16" customWidth="1"/>
    <col min="2" max="2" width="24.140625" style="2" customWidth="1"/>
    <col min="3" max="3" width="12.28515625" style="2" customWidth="1"/>
    <col min="4" max="11" width="9.7109375" style="2" customWidth="1"/>
    <col min="12" max="12" width="12.42578125" style="2" customWidth="1"/>
    <col min="13" max="81" width="11.42578125" style="16"/>
    <col min="82" max="16384" width="11.42578125" style="2"/>
  </cols>
  <sheetData>
    <row r="1" spans="1:81">
      <c r="B1" s="29" t="s">
        <v>153</v>
      </c>
      <c r="C1" s="246">
        <f>ESCENARIOS!C8</f>
        <v>1</v>
      </c>
    </row>
    <row r="2" spans="1:81">
      <c r="B2" s="29" t="s">
        <v>152</v>
      </c>
      <c r="C2" s="246">
        <f>ESCENARIOS!C7*EQ!C1</f>
        <v>1</v>
      </c>
    </row>
    <row r="3" spans="1:81">
      <c r="B3" s="29" t="s">
        <v>151</v>
      </c>
      <c r="C3" s="246">
        <f>ESCENARIOS!C10</f>
        <v>1</v>
      </c>
      <c r="F3" s="26"/>
      <c r="G3" s="26" t="str">
        <f>G9</f>
        <v>Escenario  Base</v>
      </c>
    </row>
    <row r="4" spans="1:81" s="239" customFormat="1">
      <c r="B4" s="29" t="s">
        <v>36</v>
      </c>
      <c r="C4" s="246">
        <f>ESCENARIOS!$C$9</f>
        <v>1</v>
      </c>
      <c r="D4" s="190">
        <v>1</v>
      </c>
      <c r="E4" s="190">
        <f t="shared" ref="E4:K4" si="0">D4+1</f>
        <v>2</v>
      </c>
      <c r="F4" s="190">
        <f t="shared" si="0"/>
        <v>3</v>
      </c>
      <c r="G4" s="190">
        <f t="shared" si="0"/>
        <v>4</v>
      </c>
      <c r="H4" s="190">
        <f t="shared" si="0"/>
        <v>5</v>
      </c>
      <c r="I4" s="190">
        <f t="shared" si="0"/>
        <v>6</v>
      </c>
      <c r="J4" s="190">
        <f t="shared" si="0"/>
        <v>7</v>
      </c>
      <c r="K4" s="190">
        <f t="shared" si="0"/>
        <v>8</v>
      </c>
      <c r="M4" s="238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8"/>
      <c r="Y4" s="238"/>
      <c r="Z4" s="238"/>
      <c r="AA4" s="238"/>
      <c r="AB4" s="238"/>
      <c r="AC4" s="238"/>
      <c r="AD4" s="238"/>
      <c r="AE4" s="238"/>
      <c r="AF4" s="238"/>
      <c r="AG4" s="238"/>
      <c r="AH4" s="238"/>
      <c r="AI4" s="238"/>
      <c r="AJ4" s="238"/>
      <c r="AK4" s="238"/>
      <c r="AL4" s="238"/>
      <c r="AM4" s="238"/>
      <c r="AN4" s="238"/>
      <c r="AO4" s="238"/>
      <c r="AP4" s="238"/>
      <c r="AQ4" s="238"/>
      <c r="AR4" s="238"/>
      <c r="AS4" s="238"/>
      <c r="AT4" s="238"/>
      <c r="AU4" s="238"/>
      <c r="AV4" s="238"/>
      <c r="AW4" s="238"/>
      <c r="AX4" s="238"/>
      <c r="AY4" s="238"/>
      <c r="AZ4" s="238"/>
      <c r="BA4" s="238"/>
      <c r="BB4" s="238"/>
      <c r="BC4" s="238"/>
      <c r="BD4" s="238"/>
      <c r="BE4" s="238"/>
      <c r="BF4" s="238"/>
      <c r="BG4" s="238"/>
      <c r="BH4" s="238"/>
      <c r="BI4" s="238"/>
      <c r="BJ4" s="238"/>
      <c r="BK4" s="238"/>
      <c r="BL4" s="238"/>
      <c r="BM4" s="238"/>
      <c r="BN4" s="238"/>
      <c r="BO4" s="238"/>
      <c r="BP4" s="238"/>
      <c r="BQ4" s="238"/>
      <c r="BR4" s="238"/>
      <c r="BS4" s="238"/>
      <c r="BT4" s="238"/>
      <c r="BU4" s="238"/>
      <c r="BV4" s="238"/>
      <c r="BW4" s="238"/>
      <c r="BX4" s="238"/>
      <c r="BY4" s="238"/>
      <c r="BZ4" s="238"/>
      <c r="CA4" s="238"/>
      <c r="CB4" s="238"/>
      <c r="CC4" s="238"/>
    </row>
    <row r="5" spans="1:81">
      <c r="C5" s="247" t="s">
        <v>154</v>
      </c>
      <c r="J5" s="16"/>
      <c r="K5" s="16"/>
      <c r="L5" s="159"/>
    </row>
    <row r="6" spans="1:81">
      <c r="B6" s="1" t="s">
        <v>8</v>
      </c>
      <c r="C6" s="249">
        <f>INPUTS!C4</f>
        <v>2.5000000000000001E-2</v>
      </c>
      <c r="D6" s="158">
        <f>C6</f>
        <v>2.5000000000000001E-2</v>
      </c>
      <c r="E6" s="158">
        <f t="shared" ref="E6:K6" si="1">D6</f>
        <v>2.5000000000000001E-2</v>
      </c>
      <c r="F6" s="158">
        <f t="shared" si="1"/>
        <v>2.5000000000000001E-2</v>
      </c>
      <c r="G6" s="158">
        <f t="shared" si="1"/>
        <v>2.5000000000000001E-2</v>
      </c>
      <c r="H6" s="158">
        <f t="shared" si="1"/>
        <v>2.5000000000000001E-2</v>
      </c>
      <c r="I6" s="158">
        <f t="shared" si="1"/>
        <v>2.5000000000000001E-2</v>
      </c>
      <c r="J6" s="158">
        <f t="shared" si="1"/>
        <v>2.5000000000000001E-2</v>
      </c>
      <c r="K6" s="158">
        <f t="shared" si="1"/>
        <v>2.5000000000000001E-2</v>
      </c>
      <c r="L6" s="159"/>
    </row>
    <row r="7" spans="1:81">
      <c r="C7" s="3" t="s">
        <v>210</v>
      </c>
      <c r="D7" s="175">
        <v>1</v>
      </c>
      <c r="E7" s="176">
        <f>D7*(1+D6)</f>
        <v>1.0249999999999999</v>
      </c>
      <c r="F7" s="176">
        <f t="shared" ref="F7:K7" si="2">E7*(1+E6)</f>
        <v>1.0506249999999999</v>
      </c>
      <c r="G7" s="176">
        <f t="shared" si="2"/>
        <v>1.0768906249999999</v>
      </c>
      <c r="H7" s="176">
        <f t="shared" si="2"/>
        <v>1.1038128906249998</v>
      </c>
      <c r="I7" s="176">
        <f t="shared" si="2"/>
        <v>1.1314082128906247</v>
      </c>
      <c r="J7" s="176">
        <f t="shared" si="2"/>
        <v>1.1596934182128902</v>
      </c>
      <c r="K7" s="176">
        <f t="shared" si="2"/>
        <v>1.1886857536682123</v>
      </c>
      <c r="L7" s="159"/>
    </row>
    <row r="8" spans="1:81" ht="12.75" customHeight="1">
      <c r="L8" s="159"/>
      <c r="M8" s="193"/>
      <c r="N8" s="193"/>
    </row>
    <row r="9" spans="1:81" s="13" customFormat="1">
      <c r="A9" s="15"/>
      <c r="B9" s="15"/>
      <c r="C9" s="15"/>
      <c r="D9" s="15"/>
      <c r="E9" s="15"/>
      <c r="F9" s="26"/>
      <c r="G9" s="26" t="str">
        <f>ESCENARIOS!C5</f>
        <v>Escenario  Base</v>
      </c>
      <c r="H9" s="15"/>
      <c r="I9" s="15"/>
      <c r="J9" s="15"/>
      <c r="K9" s="15"/>
      <c r="L9" s="159"/>
      <c r="M9" s="141"/>
      <c r="N9" s="141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</row>
    <row r="10" spans="1:81" s="3" customFormat="1">
      <c r="A10" s="15"/>
      <c r="B10" s="136" t="s">
        <v>5</v>
      </c>
      <c r="C10" s="247" t="s">
        <v>154</v>
      </c>
      <c r="D10" s="190">
        <f t="shared" ref="D10:K10" si="3">D4</f>
        <v>1</v>
      </c>
      <c r="E10" s="190">
        <f t="shared" si="3"/>
        <v>2</v>
      </c>
      <c r="F10" s="190">
        <f t="shared" si="3"/>
        <v>3</v>
      </c>
      <c r="G10" s="190">
        <f t="shared" si="3"/>
        <v>4</v>
      </c>
      <c r="H10" s="190">
        <f t="shared" si="3"/>
        <v>5</v>
      </c>
      <c r="I10" s="190">
        <f t="shared" si="3"/>
        <v>6</v>
      </c>
      <c r="J10" s="190">
        <f t="shared" si="3"/>
        <v>7</v>
      </c>
      <c r="K10" s="190">
        <f t="shared" si="3"/>
        <v>8</v>
      </c>
      <c r="L10" s="159"/>
      <c r="M10" s="141"/>
      <c r="N10" s="141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</row>
    <row r="11" spans="1:81" s="13" customFormat="1">
      <c r="A11" s="15"/>
      <c r="B11" s="26" t="str">
        <f>INPUTS!C54</f>
        <v>Linea A</v>
      </c>
      <c r="D11" s="141"/>
      <c r="E11" s="141"/>
      <c r="F11" s="141"/>
      <c r="G11" s="141"/>
      <c r="H11" s="141"/>
      <c r="I11" s="141"/>
      <c r="J11" s="141"/>
      <c r="K11" s="141"/>
      <c r="L11" s="159"/>
      <c r="M11" s="141"/>
      <c r="N11" s="141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</row>
    <row r="12" spans="1:81" s="18" customFormat="1">
      <c r="A12" s="29"/>
      <c r="B12" s="136" t="s">
        <v>26</v>
      </c>
      <c r="C12" s="247">
        <f>INPUTS!C55</f>
        <v>1</v>
      </c>
      <c r="D12" s="177">
        <f t="shared" ref="D12:J12" si="4">D14*D13</f>
        <v>350000</v>
      </c>
      <c r="E12" s="177">
        <f t="shared" si="4"/>
        <v>394625</v>
      </c>
      <c r="F12" s="177">
        <f t="shared" si="4"/>
        <v>444939.68750000006</v>
      </c>
      <c r="G12" s="177">
        <f t="shared" si="4"/>
        <v>501669.49765625014</v>
      </c>
      <c r="H12" s="177">
        <f t="shared" si="4"/>
        <v>539921.79685253918</v>
      </c>
      <c r="I12" s="177">
        <f t="shared" si="4"/>
        <v>581090.8338625452</v>
      </c>
      <c r="J12" s="177">
        <f t="shared" si="4"/>
        <v>619442.82889747329</v>
      </c>
      <c r="K12" s="177">
        <f>K14*K13</f>
        <v>653976.76660850726</v>
      </c>
      <c r="L12" s="159"/>
      <c r="M12" s="193"/>
      <c r="N12" s="193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</row>
    <row r="13" spans="1:81">
      <c r="B13" s="136" t="s">
        <v>35</v>
      </c>
      <c r="C13" s="248">
        <f>INPUTS!C56*C1</f>
        <v>100</v>
      </c>
      <c r="D13" s="178">
        <f>$C13*D$7</f>
        <v>100</v>
      </c>
      <c r="E13" s="178">
        <f t="shared" ref="E13:K13" si="5">$C13*E$7</f>
        <v>102.49999999999999</v>
      </c>
      <c r="F13" s="178">
        <f t="shared" si="5"/>
        <v>105.06249999999999</v>
      </c>
      <c r="G13" s="178">
        <f t="shared" si="5"/>
        <v>107.68906249999999</v>
      </c>
      <c r="H13" s="178">
        <f t="shared" si="5"/>
        <v>110.38128906249997</v>
      </c>
      <c r="I13" s="178">
        <f t="shared" si="5"/>
        <v>113.14082128906247</v>
      </c>
      <c r="J13" s="178">
        <f t="shared" si="5"/>
        <v>115.96934182128902</v>
      </c>
      <c r="K13" s="178">
        <f t="shared" si="5"/>
        <v>118.86857536682123</v>
      </c>
      <c r="L13" s="159"/>
      <c r="M13" s="193"/>
      <c r="N13" s="193"/>
    </row>
    <row r="14" spans="1:81">
      <c r="A14" s="51"/>
      <c r="B14" s="136" t="s">
        <v>34</v>
      </c>
      <c r="C14" s="250">
        <f>INPUTS!C57*C2</f>
        <v>3500</v>
      </c>
      <c r="D14" s="178">
        <f t="shared" ref="D14:K14" si="6">IF(D$10&lt;$C12,0,IF(D$10=$C12,$C14,C14*(1+D16)))</f>
        <v>3500</v>
      </c>
      <c r="E14" s="178">
        <f t="shared" si="6"/>
        <v>3850.0000000000005</v>
      </c>
      <c r="F14" s="178">
        <f t="shared" si="6"/>
        <v>4235.0000000000009</v>
      </c>
      <c r="G14" s="178">
        <f t="shared" si="6"/>
        <v>4658.5000000000018</v>
      </c>
      <c r="H14" s="178">
        <f t="shared" si="6"/>
        <v>4891.425000000002</v>
      </c>
      <c r="I14" s="178">
        <f t="shared" si="6"/>
        <v>5135.996250000002</v>
      </c>
      <c r="J14" s="178">
        <f t="shared" si="6"/>
        <v>5341.4361000000026</v>
      </c>
      <c r="K14" s="178">
        <f t="shared" si="6"/>
        <v>5501.6791830000029</v>
      </c>
      <c r="L14" s="159"/>
      <c r="M14" s="178"/>
      <c r="N14" s="178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  <c r="BF14" s="35"/>
    </row>
    <row r="15" spans="1:81">
      <c r="B15" s="136" t="s">
        <v>75</v>
      </c>
      <c r="C15" s="14"/>
      <c r="D15" s="191"/>
      <c r="E15" s="158">
        <f t="array" ref="E15:J15">TRANSPOSE(INPUTS!C58:C63)</f>
        <v>0.1</v>
      </c>
      <c r="F15" s="158">
        <v>0.1</v>
      </c>
      <c r="G15" s="158">
        <v>0.1</v>
      </c>
      <c r="H15" s="158">
        <v>0.05</v>
      </c>
      <c r="I15" s="158">
        <v>0.05</v>
      </c>
      <c r="J15" s="158">
        <v>0.04</v>
      </c>
      <c r="K15" s="158"/>
      <c r="L15" s="159"/>
      <c r="M15" s="193"/>
      <c r="N15" s="193"/>
    </row>
    <row r="16" spans="1:81">
      <c r="A16" s="14"/>
      <c r="B16" s="14"/>
      <c r="C16" s="14"/>
      <c r="D16" s="191"/>
      <c r="E16" s="72">
        <f t="shared" ref="E16:J16" si="7">IF(D14=0,0,E15*$C$3)</f>
        <v>0.1</v>
      </c>
      <c r="F16" s="72">
        <f t="shared" si="7"/>
        <v>0.1</v>
      </c>
      <c r="G16" s="72">
        <f t="shared" si="7"/>
        <v>0.1</v>
      </c>
      <c r="H16" s="72">
        <f t="shared" si="7"/>
        <v>0.05</v>
      </c>
      <c r="I16" s="72">
        <f t="shared" si="7"/>
        <v>0.05</v>
      </c>
      <c r="J16" s="72">
        <f t="shared" si="7"/>
        <v>0.04</v>
      </c>
      <c r="K16" s="72">
        <f>INPUTS!$C$7*$C$3</f>
        <v>0.03</v>
      </c>
      <c r="L16" s="159"/>
      <c r="M16" s="193"/>
      <c r="N16" s="193"/>
    </row>
    <row r="17" spans="1:81" s="14" customFormat="1">
      <c r="A17" s="139"/>
      <c r="B17" s="26" t="str">
        <f>INPUTS!D54</f>
        <v>Linea B</v>
      </c>
      <c r="D17" s="192"/>
      <c r="E17" s="192"/>
      <c r="F17" s="192"/>
      <c r="G17" s="192"/>
      <c r="H17" s="192"/>
      <c r="I17" s="192"/>
      <c r="J17" s="192"/>
      <c r="K17" s="192"/>
      <c r="L17" s="159"/>
      <c r="M17" s="193"/>
      <c r="N17" s="193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</row>
    <row r="18" spans="1:81" s="18" customFormat="1">
      <c r="A18" s="16"/>
      <c r="B18" s="136" t="s">
        <v>26</v>
      </c>
      <c r="C18" s="247">
        <f>INPUTS!D55</f>
        <v>1</v>
      </c>
      <c r="D18" s="177">
        <f t="shared" ref="D18:J18" si="8">D20*D19</f>
        <v>110000</v>
      </c>
      <c r="E18" s="177">
        <f t="shared" si="8"/>
        <v>124024.99999999999</v>
      </c>
      <c r="F18" s="177">
        <f t="shared" si="8"/>
        <v>139838.1875</v>
      </c>
      <c r="G18" s="177">
        <f t="shared" si="8"/>
        <v>150500.84929687498</v>
      </c>
      <c r="H18" s="177">
        <f t="shared" si="8"/>
        <v>161976.53905576168</v>
      </c>
      <c r="I18" s="177">
        <f t="shared" si="8"/>
        <v>174327.25015876352</v>
      </c>
      <c r="J18" s="177">
        <f t="shared" si="8"/>
        <v>185832.84866924191</v>
      </c>
      <c r="K18" s="177">
        <f>K20*K19</f>
        <v>196193.02998255214</v>
      </c>
      <c r="L18" s="159"/>
      <c r="M18" s="193"/>
      <c r="N18" s="193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</row>
    <row r="19" spans="1:81" s="14" customFormat="1">
      <c r="B19" s="136" t="s">
        <v>35</v>
      </c>
      <c r="C19" s="248">
        <f>INPUTS!D56*C1</f>
        <v>110</v>
      </c>
      <c r="D19" s="178">
        <f>$C19*D$7</f>
        <v>110</v>
      </c>
      <c r="E19" s="178">
        <f t="shared" ref="E19:K19" si="9">$C19*E$7</f>
        <v>112.74999999999999</v>
      </c>
      <c r="F19" s="178">
        <f t="shared" si="9"/>
        <v>115.56874999999999</v>
      </c>
      <c r="G19" s="178">
        <f t="shared" si="9"/>
        <v>118.45796874999999</v>
      </c>
      <c r="H19" s="178">
        <f t="shared" si="9"/>
        <v>121.41941796874997</v>
      </c>
      <c r="I19" s="178">
        <f t="shared" si="9"/>
        <v>124.45490341796871</v>
      </c>
      <c r="J19" s="178">
        <f t="shared" si="9"/>
        <v>127.56627600341793</v>
      </c>
      <c r="K19" s="178">
        <f t="shared" si="9"/>
        <v>130.75543290350336</v>
      </c>
      <c r="L19" s="159"/>
      <c r="M19" s="193"/>
      <c r="N19" s="193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</row>
    <row r="20" spans="1:81" s="14" customFormat="1">
      <c r="A20" s="16"/>
      <c r="B20" s="136" t="s">
        <v>34</v>
      </c>
      <c r="C20" s="250">
        <f>INPUTS!D57*C2</f>
        <v>1000</v>
      </c>
      <c r="D20" s="178">
        <f t="shared" ref="D20:K20" si="10">IF(D$10&lt;$C18,0,IF(D$10=$C18,$C20,C20*(1+D22)))</f>
        <v>1000</v>
      </c>
      <c r="E20" s="178">
        <f t="shared" si="10"/>
        <v>1100</v>
      </c>
      <c r="F20" s="178">
        <f t="shared" si="10"/>
        <v>1210</v>
      </c>
      <c r="G20" s="178">
        <f t="shared" si="10"/>
        <v>1270.5</v>
      </c>
      <c r="H20" s="178">
        <f t="shared" si="10"/>
        <v>1334.0250000000001</v>
      </c>
      <c r="I20" s="178">
        <f t="shared" si="10"/>
        <v>1400.7262500000002</v>
      </c>
      <c r="J20" s="178">
        <f t="shared" si="10"/>
        <v>1456.7553000000003</v>
      </c>
      <c r="K20" s="178">
        <f t="shared" si="10"/>
        <v>1500.4579590000003</v>
      </c>
      <c r="L20" s="159"/>
      <c r="M20" s="178"/>
      <c r="N20" s="178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</row>
    <row r="21" spans="1:81" s="14" customFormat="1">
      <c r="A21" s="16"/>
      <c r="B21" s="136" t="s">
        <v>75</v>
      </c>
      <c r="D21" s="178"/>
      <c r="E21" s="194">
        <f t="array" ref="E21:J21">TRANSPOSE(INPUTS!D58:D63)</f>
        <v>0.1</v>
      </c>
      <c r="F21" s="194">
        <v>0.1</v>
      </c>
      <c r="G21" s="194">
        <v>0.05</v>
      </c>
      <c r="H21" s="194">
        <v>0.05</v>
      </c>
      <c r="I21" s="194">
        <v>0.05</v>
      </c>
      <c r="J21" s="194">
        <v>0.04</v>
      </c>
      <c r="K21" s="178"/>
      <c r="L21" s="159"/>
      <c r="M21" s="178"/>
      <c r="N21" s="178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</row>
    <row r="22" spans="1:81" s="14" customFormat="1">
      <c r="A22" s="16"/>
      <c r="D22" s="192"/>
      <c r="E22" s="72">
        <f t="shared" ref="E22:J22" si="11">IF(D20=0,0,E21*$C$3)</f>
        <v>0.1</v>
      </c>
      <c r="F22" s="72">
        <f t="shared" si="11"/>
        <v>0.1</v>
      </c>
      <c r="G22" s="72">
        <f t="shared" si="11"/>
        <v>0.05</v>
      </c>
      <c r="H22" s="72">
        <f t="shared" si="11"/>
        <v>0.05</v>
      </c>
      <c r="I22" s="72">
        <f t="shared" si="11"/>
        <v>0.05</v>
      </c>
      <c r="J22" s="72">
        <f t="shared" si="11"/>
        <v>0.04</v>
      </c>
      <c r="K22" s="72">
        <f>INPUTS!$C$7*$C$3</f>
        <v>0.03</v>
      </c>
      <c r="L22" s="159"/>
      <c r="M22" s="178"/>
      <c r="N22" s="178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</row>
    <row r="23" spans="1:81" s="14" customFormat="1">
      <c r="A23" s="16"/>
      <c r="B23" s="26" t="str">
        <f>INPUTS!E54</f>
        <v>Linea C</v>
      </c>
      <c r="D23" s="192"/>
      <c r="E23" s="192"/>
      <c r="F23" s="192"/>
      <c r="G23" s="192"/>
      <c r="H23" s="192"/>
      <c r="I23" s="192"/>
      <c r="J23" s="192"/>
      <c r="K23" s="192"/>
      <c r="L23" s="159"/>
      <c r="M23" s="193"/>
      <c r="N23" s="193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</row>
    <row r="24" spans="1:81" s="18" customFormat="1">
      <c r="A24" s="16"/>
      <c r="B24" s="136" t="s">
        <v>26</v>
      </c>
      <c r="C24" s="247">
        <f>INPUTS!E55</f>
        <v>2</v>
      </c>
      <c r="D24" s="177">
        <f t="shared" ref="D24:J24" si="12">D25*D26</f>
        <v>0</v>
      </c>
      <c r="E24" s="177">
        <f t="shared" si="12"/>
        <v>59962.5</v>
      </c>
      <c r="F24" s="177">
        <f t="shared" si="12"/>
        <v>67607.71875</v>
      </c>
      <c r="G24" s="177">
        <f t="shared" si="12"/>
        <v>76227.702890625005</v>
      </c>
      <c r="H24" s="177">
        <f t="shared" si="12"/>
        <v>80477.39732677734</v>
      </c>
      <c r="I24" s="177">
        <f t="shared" si="12"/>
        <v>84964.012227745174</v>
      </c>
      <c r="J24" s="177">
        <f t="shared" si="12"/>
        <v>89700.755909441985</v>
      </c>
      <c r="K24" s="177">
        <f>K25*K26</f>
        <v>94701.573051393352</v>
      </c>
      <c r="L24" s="159"/>
      <c r="M24" s="193"/>
      <c r="N24" s="193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</row>
    <row r="25" spans="1:81" s="14" customFormat="1">
      <c r="B25" s="136" t="s">
        <v>35</v>
      </c>
      <c r="C25" s="248">
        <f>INPUTS!E56*C1</f>
        <v>65</v>
      </c>
      <c r="D25" s="178">
        <f>$C25*D$7</f>
        <v>65</v>
      </c>
      <c r="E25" s="178">
        <f t="shared" ref="E25:K25" si="13">$C25*E$7</f>
        <v>66.625</v>
      </c>
      <c r="F25" s="178">
        <f t="shared" si="13"/>
        <v>68.290624999999991</v>
      </c>
      <c r="G25" s="178">
        <f t="shared" si="13"/>
        <v>69.997890624999997</v>
      </c>
      <c r="H25" s="178">
        <f t="shared" si="13"/>
        <v>71.747837890624979</v>
      </c>
      <c r="I25" s="178">
        <f t="shared" si="13"/>
        <v>73.541533837890597</v>
      </c>
      <c r="J25" s="178">
        <f t="shared" si="13"/>
        <v>75.380072183837868</v>
      </c>
      <c r="K25" s="178">
        <f t="shared" si="13"/>
        <v>77.264573988433796</v>
      </c>
      <c r="L25" s="159"/>
      <c r="M25" s="193"/>
      <c r="N25" s="193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</row>
    <row r="26" spans="1:81" s="14" customFormat="1">
      <c r="A26" s="140"/>
      <c r="B26" s="136" t="s">
        <v>34</v>
      </c>
      <c r="C26" s="250">
        <f>INPUTS!E57*C2</f>
        <v>900</v>
      </c>
      <c r="D26" s="178">
        <f>IF(D$10&lt;$C24,0,IF(D$10=$C24,$C26,C26*(1+D28)))</f>
        <v>0</v>
      </c>
      <c r="E26" s="178">
        <f t="shared" ref="E26:K26" si="14">IF(E$10&lt;$C24,0,IF(E$10=$C24,$C26,D26*(1+E28)))</f>
        <v>900</v>
      </c>
      <c r="F26" s="178">
        <f t="shared" si="14"/>
        <v>990.00000000000011</v>
      </c>
      <c r="G26" s="178">
        <f t="shared" si="14"/>
        <v>1089.0000000000002</v>
      </c>
      <c r="H26" s="178">
        <f t="shared" si="14"/>
        <v>1121.6700000000003</v>
      </c>
      <c r="I26" s="178">
        <f t="shared" si="14"/>
        <v>1155.3201000000004</v>
      </c>
      <c r="J26" s="178">
        <f t="shared" si="14"/>
        <v>1189.9797030000004</v>
      </c>
      <c r="K26" s="178">
        <f t="shared" si="14"/>
        <v>1225.6790940900005</v>
      </c>
      <c r="L26" s="159"/>
      <c r="M26" s="178"/>
      <c r="N26" s="178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</row>
    <row r="27" spans="1:81" s="14" customFormat="1">
      <c r="A27" s="29"/>
      <c r="B27" s="136" t="s">
        <v>75</v>
      </c>
      <c r="D27" s="192"/>
      <c r="E27" s="72">
        <f t="array" ref="E27:J27">TRANSPOSE(INPUTS!E58:E63)</f>
        <v>0.1</v>
      </c>
      <c r="F27" s="72">
        <v>0.1</v>
      </c>
      <c r="G27" s="72">
        <v>0.1</v>
      </c>
      <c r="H27" s="72">
        <v>0.03</v>
      </c>
      <c r="I27" s="72">
        <v>0.03</v>
      </c>
      <c r="J27" s="72">
        <v>0.03</v>
      </c>
      <c r="L27" s="159"/>
      <c r="M27" s="193"/>
      <c r="N27" s="193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</row>
    <row r="28" spans="1:81" s="14" customFormat="1">
      <c r="A28" s="29"/>
      <c r="D28" s="192"/>
      <c r="E28" s="72">
        <f t="shared" ref="E28:J28" si="15">IF(D26=0,0,E27*$C$3)</f>
        <v>0</v>
      </c>
      <c r="F28" s="72">
        <f t="shared" si="15"/>
        <v>0.1</v>
      </c>
      <c r="G28" s="72">
        <f t="shared" si="15"/>
        <v>0.1</v>
      </c>
      <c r="H28" s="72">
        <f t="shared" si="15"/>
        <v>0.03</v>
      </c>
      <c r="I28" s="72">
        <f t="shared" si="15"/>
        <v>0.03</v>
      </c>
      <c r="J28" s="72">
        <f t="shared" si="15"/>
        <v>0.03</v>
      </c>
      <c r="K28" s="72">
        <f>INPUTS!$C$7*$C$3</f>
        <v>0.03</v>
      </c>
      <c r="L28" s="159"/>
      <c r="M28" s="193"/>
      <c r="N28" s="193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</row>
    <row r="29" spans="1:81" s="14" customFormat="1">
      <c r="A29" s="139"/>
      <c r="B29" s="26" t="str">
        <f>INPUTS!F54</f>
        <v>Linea D</v>
      </c>
      <c r="D29" s="192"/>
      <c r="E29" s="192"/>
      <c r="F29" s="192"/>
      <c r="G29" s="192"/>
      <c r="H29" s="192"/>
      <c r="I29" s="192"/>
      <c r="J29" s="192"/>
      <c r="K29" s="192"/>
      <c r="L29" s="159"/>
      <c r="M29" s="193"/>
      <c r="N29" s="193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</row>
    <row r="30" spans="1:81" s="18" customFormat="1">
      <c r="A30" s="16"/>
      <c r="B30" s="136" t="s">
        <v>26</v>
      </c>
      <c r="C30" s="247">
        <f>INPUTS!F55</f>
        <v>3</v>
      </c>
      <c r="D30" s="177">
        <f t="shared" ref="D30:J30" si="16">D31*D32</f>
        <v>0</v>
      </c>
      <c r="E30" s="177">
        <f t="shared" si="16"/>
        <v>0</v>
      </c>
      <c r="F30" s="177">
        <f t="shared" si="16"/>
        <v>66189.375</v>
      </c>
      <c r="G30" s="177">
        <f t="shared" si="16"/>
        <v>74628.520312499997</v>
      </c>
      <c r="H30" s="177">
        <f t="shared" si="16"/>
        <v>78024.117986718746</v>
      </c>
      <c r="I30" s="177">
        <f t="shared" si="16"/>
        <v>81574.215355114444</v>
      </c>
      <c r="J30" s="177">
        <f t="shared" si="16"/>
        <v>85285.84215377213</v>
      </c>
      <c r="K30" s="177">
        <f>K31*K32</f>
        <v>90040.52785384492</v>
      </c>
      <c r="L30" s="159"/>
      <c r="M30" s="193"/>
      <c r="N30" s="193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</row>
    <row r="31" spans="1:81" s="14" customFormat="1">
      <c r="B31" s="136" t="s">
        <v>35</v>
      </c>
      <c r="C31" s="248">
        <f>INPUTS!F56*C1</f>
        <v>90</v>
      </c>
      <c r="D31" s="178">
        <f>$C31*D$7</f>
        <v>90</v>
      </c>
      <c r="E31" s="178">
        <f t="shared" ref="E31:K31" si="17">$C31*E$7</f>
        <v>92.249999999999986</v>
      </c>
      <c r="F31" s="178">
        <f t="shared" si="17"/>
        <v>94.556249999999991</v>
      </c>
      <c r="G31" s="178">
        <f t="shared" si="17"/>
        <v>96.920156249999991</v>
      </c>
      <c r="H31" s="178">
        <f t="shared" si="17"/>
        <v>99.343160156249979</v>
      </c>
      <c r="I31" s="178">
        <f t="shared" si="17"/>
        <v>101.82673916015622</v>
      </c>
      <c r="J31" s="178">
        <f t="shared" si="17"/>
        <v>104.37240763916012</v>
      </c>
      <c r="K31" s="178">
        <f t="shared" si="17"/>
        <v>106.9817178301391</v>
      </c>
      <c r="L31" s="159"/>
      <c r="M31" s="193"/>
      <c r="N31" s="193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</row>
    <row r="32" spans="1:81" s="14" customFormat="1">
      <c r="A32" s="140"/>
      <c r="B32" s="136" t="s">
        <v>34</v>
      </c>
      <c r="C32" s="250">
        <f>INPUTS!F57*C2</f>
        <v>700</v>
      </c>
      <c r="D32" s="178">
        <f t="shared" ref="D32:K32" si="18">IF(D$10&lt;$C30,0,IF(D$10=$C30,$C32,C32*(1+D34)))</f>
        <v>0</v>
      </c>
      <c r="E32" s="178">
        <f t="shared" si="18"/>
        <v>0</v>
      </c>
      <c r="F32" s="178">
        <f t="shared" si="18"/>
        <v>700</v>
      </c>
      <c r="G32" s="178">
        <f t="shared" si="18"/>
        <v>770.00000000000011</v>
      </c>
      <c r="H32" s="178">
        <f t="shared" si="18"/>
        <v>785.40000000000009</v>
      </c>
      <c r="I32" s="178">
        <f t="shared" si="18"/>
        <v>801.10800000000006</v>
      </c>
      <c r="J32" s="178">
        <f t="shared" si="18"/>
        <v>817.13016000000005</v>
      </c>
      <c r="K32" s="178">
        <f t="shared" si="18"/>
        <v>841.64406480000002</v>
      </c>
      <c r="L32" s="159"/>
      <c r="M32" s="193"/>
      <c r="N32" s="193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</row>
    <row r="33" spans="1:81" s="14" customFormat="1">
      <c r="A33" s="29"/>
      <c r="B33" s="136" t="s">
        <v>75</v>
      </c>
      <c r="C33" s="193"/>
      <c r="D33" s="193"/>
      <c r="E33" s="72">
        <f t="array" ref="E33:J33">TRANSPOSE(INPUTS!F58:F63)</f>
        <v>0.1</v>
      </c>
      <c r="F33" s="72">
        <v>0.1</v>
      </c>
      <c r="G33" s="72">
        <v>0.1</v>
      </c>
      <c r="H33" s="72">
        <v>0.02</v>
      </c>
      <c r="I33" s="72">
        <v>0.02</v>
      </c>
      <c r="J33" s="72">
        <v>0.02</v>
      </c>
      <c r="L33" s="159"/>
      <c r="M33" s="193"/>
      <c r="N33" s="193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</row>
    <row r="34" spans="1:81" s="14" customFormat="1">
      <c r="A34" s="29"/>
      <c r="B34" s="193"/>
      <c r="C34" s="193"/>
      <c r="D34" s="193"/>
      <c r="E34" s="72">
        <f t="shared" ref="E34:J34" si="19">IF(D32=0,0,E33*$C$3)</f>
        <v>0</v>
      </c>
      <c r="F34" s="72">
        <f t="shared" si="19"/>
        <v>0</v>
      </c>
      <c r="G34" s="72">
        <f t="shared" si="19"/>
        <v>0.1</v>
      </c>
      <c r="H34" s="72">
        <f t="shared" si="19"/>
        <v>0.02</v>
      </c>
      <c r="I34" s="72">
        <f t="shared" si="19"/>
        <v>0.02</v>
      </c>
      <c r="J34" s="72">
        <f t="shared" si="19"/>
        <v>0.02</v>
      </c>
      <c r="K34" s="72">
        <f>INPUTS!$C$7*$C$3</f>
        <v>0.03</v>
      </c>
      <c r="L34" s="159"/>
      <c r="M34" s="193"/>
      <c r="N34" s="193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</row>
    <row r="35" spans="1:81" s="14" customFormat="1">
      <c r="A35" s="29"/>
      <c r="B35" s="26" t="str">
        <f>INPUTS!G54</f>
        <v>Linea E</v>
      </c>
      <c r="D35" s="192"/>
      <c r="E35" s="192"/>
      <c r="F35" s="192"/>
      <c r="G35" s="192"/>
      <c r="H35" s="192"/>
      <c r="I35" s="192"/>
      <c r="J35" s="192"/>
      <c r="K35" s="192"/>
      <c r="L35" s="159"/>
      <c r="M35" s="193"/>
      <c r="N35" s="193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</row>
    <row r="36" spans="1:81" s="14" customFormat="1">
      <c r="B36" s="136" t="s">
        <v>26</v>
      </c>
      <c r="C36" s="247">
        <f>INPUTS!G55</f>
        <v>4</v>
      </c>
      <c r="D36" s="177">
        <f t="shared" ref="D36:K36" si="20">D37*D38</f>
        <v>0</v>
      </c>
      <c r="E36" s="177">
        <f t="shared" si="20"/>
        <v>0</v>
      </c>
      <c r="F36" s="177">
        <f t="shared" si="20"/>
        <v>0</v>
      </c>
      <c r="G36" s="177">
        <f t="shared" si="20"/>
        <v>129226.87499999999</v>
      </c>
      <c r="H36" s="177">
        <f t="shared" si="20"/>
        <v>135106.69781249997</v>
      </c>
      <c r="I36" s="177">
        <f t="shared" si="20"/>
        <v>141254.05256296872</v>
      </c>
      <c r="J36" s="177">
        <f t="shared" si="20"/>
        <v>147681.11195458379</v>
      </c>
      <c r="K36" s="177">
        <f t="shared" si="20"/>
        <v>155914.33394605177</v>
      </c>
      <c r="L36" s="159"/>
      <c r="M36" s="193"/>
      <c r="N36" s="193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</row>
    <row r="37" spans="1:81" s="14" customFormat="1">
      <c r="B37" s="136" t="s">
        <v>35</v>
      </c>
      <c r="C37" s="258">
        <f>INPUTS!G56*C1</f>
        <v>120000</v>
      </c>
      <c r="D37" s="178">
        <f>$C37*D$7</f>
        <v>120000</v>
      </c>
      <c r="E37" s="178">
        <f t="shared" ref="E37:K37" si="21">$C37*E$7</f>
        <v>122999.99999999999</v>
      </c>
      <c r="F37" s="178">
        <f t="shared" si="21"/>
        <v>126074.99999999999</v>
      </c>
      <c r="G37" s="178">
        <f t="shared" si="21"/>
        <v>129226.87499999999</v>
      </c>
      <c r="H37" s="178">
        <f t="shared" si="21"/>
        <v>132457.54687499997</v>
      </c>
      <c r="I37" s="178">
        <f t="shared" si="21"/>
        <v>135768.98554687496</v>
      </c>
      <c r="J37" s="178">
        <f t="shared" si="21"/>
        <v>139163.21018554684</v>
      </c>
      <c r="K37" s="178">
        <f t="shared" si="21"/>
        <v>142642.29044018546</v>
      </c>
      <c r="L37" s="159"/>
      <c r="M37" s="193"/>
      <c r="N37" s="193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</row>
    <row r="38" spans="1:81" s="14" customFormat="1">
      <c r="B38" s="136" t="s">
        <v>34</v>
      </c>
      <c r="C38" s="186">
        <f>INPUTS!G57*C2</f>
        <v>1</v>
      </c>
      <c r="D38" s="178">
        <f t="shared" ref="D38:K38" si="22">IF(D$10&lt;$C36,0,IF(D$10=$C36,$C38,C38*(1+D40)))</f>
        <v>0</v>
      </c>
      <c r="E38" s="178">
        <f t="shared" si="22"/>
        <v>0</v>
      </c>
      <c r="F38" s="178">
        <f t="shared" si="22"/>
        <v>0</v>
      </c>
      <c r="G38" s="178">
        <f t="shared" si="22"/>
        <v>1</v>
      </c>
      <c r="H38" s="178">
        <f t="shared" si="22"/>
        <v>1.02</v>
      </c>
      <c r="I38" s="178">
        <f t="shared" si="22"/>
        <v>1.0404</v>
      </c>
      <c r="J38" s="178">
        <f t="shared" si="22"/>
        <v>1.0612079999999999</v>
      </c>
      <c r="K38" s="178">
        <f t="shared" si="22"/>
        <v>1.09304424</v>
      </c>
      <c r="L38" s="159"/>
      <c r="M38" s="193"/>
      <c r="N38" s="193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</row>
    <row r="39" spans="1:81" s="14" customFormat="1">
      <c r="A39" s="29"/>
      <c r="B39" s="136" t="s">
        <v>75</v>
      </c>
      <c r="D39" s="193"/>
      <c r="E39" s="72">
        <f t="array" ref="E39:J39">TRANSPOSE(INPUTS!G58:G63)</f>
        <v>0.1</v>
      </c>
      <c r="F39" s="72">
        <v>0.1</v>
      </c>
      <c r="G39" s="72">
        <v>0.1</v>
      </c>
      <c r="H39" s="72">
        <v>0.02</v>
      </c>
      <c r="I39" s="72">
        <v>0.02</v>
      </c>
      <c r="J39" s="72">
        <v>0.02</v>
      </c>
      <c r="L39" s="159"/>
      <c r="M39" s="193"/>
      <c r="N39" s="193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</row>
    <row r="40" spans="1:81" s="14" customFormat="1">
      <c r="A40" s="29"/>
      <c r="D40" s="193"/>
      <c r="E40" s="72">
        <f t="shared" ref="E40:J40" si="23">IF(D36=0,0,E39*$C$3)</f>
        <v>0</v>
      </c>
      <c r="F40" s="72">
        <f t="shared" si="23"/>
        <v>0</v>
      </c>
      <c r="G40" s="72">
        <f t="shared" si="23"/>
        <v>0</v>
      </c>
      <c r="H40" s="72">
        <f t="shared" si="23"/>
        <v>0.02</v>
      </c>
      <c r="I40" s="72">
        <f t="shared" si="23"/>
        <v>0.02</v>
      </c>
      <c r="J40" s="72">
        <f t="shared" si="23"/>
        <v>0.02</v>
      </c>
      <c r="K40" s="72">
        <f>INPUTS!$C$7*$C$3</f>
        <v>0.03</v>
      </c>
      <c r="L40" s="159"/>
      <c r="M40" s="193"/>
      <c r="N40" s="193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</row>
    <row r="41" spans="1:81" s="14" customFormat="1">
      <c r="A41" s="29"/>
      <c r="B41" s="26" t="str">
        <f>INPUTS!H54</f>
        <v>Linea F</v>
      </c>
      <c r="C41" s="247">
        <f>INPUTS!H55</f>
        <v>1</v>
      </c>
      <c r="D41" s="192"/>
      <c r="E41" s="192"/>
      <c r="F41" s="192"/>
      <c r="G41" s="192"/>
      <c r="H41" s="192"/>
      <c r="I41" s="192"/>
      <c r="J41" s="192"/>
      <c r="K41" s="192"/>
      <c r="L41" s="159"/>
      <c r="M41" s="193"/>
      <c r="N41" s="193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</row>
    <row r="42" spans="1:81" s="14" customFormat="1">
      <c r="A42" s="29"/>
      <c r="B42" s="136" t="s">
        <v>26</v>
      </c>
      <c r="C42" s="249">
        <f>INPUTS!H56*C1*C2</f>
        <v>0.1</v>
      </c>
      <c r="D42" s="177">
        <f>IF(D4&lt;C41,0,C42*(D12+D18+D24+D30+D36))</f>
        <v>46000</v>
      </c>
      <c r="E42" s="177">
        <f>IF(E4&lt;C41,0,C42*(1+E44)*(E12+E18+E24+E30+E36))</f>
        <v>63647.375000000007</v>
      </c>
      <c r="F42" s="177">
        <f>IF(F4&lt;C41,0,C42*(1+E44)*(1+F44)*(F12+F18+F24+F30+F36))</f>
        <v>86947.571218750018</v>
      </c>
      <c r="G42" s="177">
        <f>IF(G4&lt;C41,0,C42*(1+E44)*(1+F44)*(1+G44)*(G12+G18+G24+G30+G36))</f>
        <v>124082.9335502969</v>
      </c>
      <c r="H42" s="177">
        <f>IF(H4&lt;C41,0,C42*(1+E44)*(1+F44)*(1+G44)*(1+H44)*(H12+H18+H24+H30+H36))</f>
        <v>139127.01776028817</v>
      </c>
      <c r="I42" s="177">
        <f>IF(I4&lt;C41,0,C42*(1+E44)*(1+F44)*(1+G44)*(1+H44)*(1+I44)*(I12+I18+I24+I30+I36))</f>
        <v>156018.41266638719</v>
      </c>
      <c r="J42" s="177">
        <f>IF(J4&lt;C41,0,C42*(1+E44)*(1+F44)*(1+G44)*(1+H44)*(1+I44)*(1+J44)*(J12+J18+J24+J30+J36))</f>
        <v>172138.21512000603</v>
      </c>
      <c r="K42" s="177">
        <f>IF(K4&lt;C41,0,C42*(1+E44)*(1+F44)*(1+G44)*(1+H44)*(1+I44)*(1+J44)*(1+K44)*(K12+K18+K24+K30+K36))</f>
        <v>187186.96823133473</v>
      </c>
      <c r="L42" s="159"/>
      <c r="M42" s="193"/>
      <c r="N42" s="193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</row>
    <row r="43" spans="1:81" s="14" customFormat="1">
      <c r="B43" s="136" t="s">
        <v>75</v>
      </c>
      <c r="D43" s="193"/>
      <c r="E43" s="72">
        <f t="array" ref="E43:J43">TRANSPOSE(INPUTS!H58:H63)</f>
        <v>0.1</v>
      </c>
      <c r="F43" s="72">
        <v>0.1</v>
      </c>
      <c r="G43" s="72">
        <v>0.1</v>
      </c>
      <c r="H43" s="72">
        <v>0.05</v>
      </c>
      <c r="I43" s="72">
        <v>0.05</v>
      </c>
      <c r="J43" s="72">
        <v>0.04</v>
      </c>
      <c r="L43" s="159"/>
      <c r="M43" s="193"/>
      <c r="N43" s="193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</row>
    <row r="44" spans="1:81" s="14" customFormat="1">
      <c r="D44" s="193"/>
      <c r="E44" s="72">
        <f t="shared" ref="E44:J44" si="24">IF(D42=0,0,E43*$C$3)</f>
        <v>0.1</v>
      </c>
      <c r="F44" s="72">
        <f t="shared" si="24"/>
        <v>0.1</v>
      </c>
      <c r="G44" s="72">
        <f t="shared" si="24"/>
        <v>0.1</v>
      </c>
      <c r="H44" s="72">
        <f t="shared" si="24"/>
        <v>0.05</v>
      </c>
      <c r="I44" s="72">
        <f t="shared" si="24"/>
        <v>0.05</v>
      </c>
      <c r="J44" s="72">
        <f t="shared" si="24"/>
        <v>0.04</v>
      </c>
      <c r="K44" s="72">
        <f>INPUTS!$C$7*$C$3</f>
        <v>0.03</v>
      </c>
      <c r="L44" s="159"/>
      <c r="M44" s="193"/>
      <c r="N44" s="193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</row>
    <row r="45" spans="1:81" s="14" customFormat="1">
      <c r="A45" s="16"/>
      <c r="B45" s="29"/>
      <c r="C45" s="16"/>
      <c r="D45" s="16"/>
      <c r="E45" s="16"/>
      <c r="F45" s="16"/>
      <c r="G45" s="16"/>
      <c r="H45" s="16"/>
      <c r="I45" s="16"/>
      <c r="J45" s="16"/>
      <c r="K45" s="16"/>
      <c r="L45" s="159"/>
      <c r="M45" s="193"/>
      <c r="N45" s="193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</row>
    <row r="46" spans="1:81" s="10" customFormat="1" ht="12.75" customHeight="1">
      <c r="A46" s="15"/>
      <c r="B46" s="26"/>
      <c r="C46" s="26" t="s">
        <v>44</v>
      </c>
      <c r="D46" s="49">
        <f t="shared" ref="D46:K46" si="25">D12+D18+D24+D30+D36+D42</f>
        <v>506000</v>
      </c>
      <c r="E46" s="49">
        <f t="shared" si="25"/>
        <v>642259.875</v>
      </c>
      <c r="F46" s="49">
        <f t="shared" si="25"/>
        <v>805522.53996874997</v>
      </c>
      <c r="G46" s="49">
        <f t="shared" si="25"/>
        <v>1056336.378706547</v>
      </c>
      <c r="H46" s="49">
        <f t="shared" si="25"/>
        <v>1134633.566794585</v>
      </c>
      <c r="I46" s="49">
        <f t="shared" si="25"/>
        <v>1219228.7768335242</v>
      </c>
      <c r="J46" s="49">
        <f t="shared" si="25"/>
        <v>1300081.6027045192</v>
      </c>
      <c r="K46" s="49">
        <f t="shared" si="25"/>
        <v>1378013.1996736843</v>
      </c>
      <c r="L46" s="159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</row>
    <row r="47" spans="1:81" s="14" customFormat="1" ht="13.5" customHeight="1">
      <c r="A47" s="29"/>
      <c r="B47" s="139"/>
      <c r="C47" s="15" t="s">
        <v>161</v>
      </c>
      <c r="D47" s="16"/>
      <c r="E47" s="254">
        <f t="shared" ref="E47:J47" si="26">E46/D46-1</f>
        <v>0.26928829051383407</v>
      </c>
      <c r="F47" s="254">
        <f t="shared" si="26"/>
        <v>0.25420031878645699</v>
      </c>
      <c r="G47" s="254">
        <f t="shared" si="26"/>
        <v>0.31136787152787471</v>
      </c>
      <c r="H47" s="254">
        <f t="shared" si="26"/>
        <v>7.4121453796669012E-2</v>
      </c>
      <c r="I47" s="254">
        <f t="shared" si="26"/>
        <v>7.4557295425276671E-2</v>
      </c>
      <c r="J47" s="254">
        <f t="shared" si="26"/>
        <v>6.631472895593804E-2</v>
      </c>
      <c r="K47" s="254"/>
      <c r="L47" s="159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</row>
    <row r="48" spans="1:81" s="14" customFormat="1" ht="13.5" customHeight="1">
      <c r="A48" s="29"/>
      <c r="B48" s="139"/>
      <c r="C48" s="15"/>
      <c r="D48" s="16"/>
      <c r="E48" s="16"/>
      <c r="F48" s="16"/>
      <c r="G48" s="16"/>
      <c r="H48" s="16"/>
      <c r="I48" s="16"/>
      <c r="J48" s="16"/>
      <c r="K48" s="16"/>
      <c r="L48" s="159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</row>
    <row r="49" spans="1:81">
      <c r="E49" s="51"/>
      <c r="F49" s="25" t="str">
        <f>G9</f>
        <v>Escenario  Base</v>
      </c>
      <c r="G49" s="25"/>
      <c r="H49" s="51"/>
      <c r="I49" s="51"/>
      <c r="J49" s="51"/>
      <c r="K49" s="51"/>
      <c r="L49" s="159"/>
    </row>
    <row r="50" spans="1:81" s="12" customFormat="1" ht="12" thickBot="1">
      <c r="A50" s="15"/>
      <c r="B50" s="136" t="s">
        <v>9</v>
      </c>
      <c r="C50" s="17" t="s">
        <v>33</v>
      </c>
      <c r="D50" s="177">
        <f t="shared" ref="D50:K50" si="27">D10</f>
        <v>1</v>
      </c>
      <c r="E50" s="177">
        <f t="shared" si="27"/>
        <v>2</v>
      </c>
      <c r="F50" s="177">
        <f t="shared" si="27"/>
        <v>3</v>
      </c>
      <c r="G50" s="177">
        <f t="shared" si="27"/>
        <v>4</v>
      </c>
      <c r="H50" s="177">
        <f t="shared" si="27"/>
        <v>5</v>
      </c>
      <c r="I50" s="177">
        <f t="shared" si="27"/>
        <v>6</v>
      </c>
      <c r="J50" s="177">
        <f t="shared" si="27"/>
        <v>7</v>
      </c>
      <c r="K50" s="177">
        <f t="shared" si="27"/>
        <v>8</v>
      </c>
      <c r="L50" s="159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</row>
    <row r="51" spans="1:81" outlineLevel="1">
      <c r="C51" s="11" t="str">
        <f>INPUTS!B73</f>
        <v>PERSONAL</v>
      </c>
      <c r="D51" s="192">
        <f>$C$4*INPUTS!C73</f>
        <v>140000</v>
      </c>
      <c r="E51" s="178">
        <f>D51*E$7/D$7+INPUTS!D73*$C$4*INCO!E$7</f>
        <v>153750</v>
      </c>
      <c r="F51" s="178">
        <f>E51*F$7/E$7+INPUTS!E73*$C$4*INCO!F$7</f>
        <v>157593.75</v>
      </c>
      <c r="G51" s="178">
        <f>F51*G$7/F$7+INPUTS!F73*$C$4*INCO!G$7</f>
        <v>161533.59374999997</v>
      </c>
      <c r="H51" s="178">
        <f>G51*H$7/G$7+INPUTS!G73*$C$4*INCO!H$7</f>
        <v>165571.93359374994</v>
      </c>
      <c r="I51" s="178">
        <f>H51*I$7/H$7+INPUTS!H73*$C$4*INCO!I$7</f>
        <v>169711.23193359366</v>
      </c>
      <c r="J51" s="178">
        <f>I51*J$7/I$7+INPUTS!I73*$C$4*INCO!J$7</f>
        <v>173954.0127319335</v>
      </c>
      <c r="K51" s="178">
        <f>J51*K$7/J$7+INPUTS!J73*$C$4*INCO!K$7</f>
        <v>178302.8630502318</v>
      </c>
      <c r="L51" s="159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</row>
    <row r="52" spans="1:81" s="51" customFormat="1" outlineLevel="1">
      <c r="A52" s="16"/>
      <c r="C52" s="11" t="str">
        <f>INPUTS!B74</f>
        <v>SUMINISTROS</v>
      </c>
      <c r="D52" s="192">
        <f>$C$4*INPUTS!C74</f>
        <v>9000</v>
      </c>
      <c r="E52" s="178">
        <f>D52*E$7/D$7+INPUTS!D74*$C$4*INCO!E$7</f>
        <v>9225</v>
      </c>
      <c r="F52" s="178">
        <f>E52*F$7/E$7+INPUTS!E74*$C$4*INCO!F$7</f>
        <v>9455.625</v>
      </c>
      <c r="G52" s="178">
        <f>F52*G$7/F$7+INPUTS!F74*$C$4*INCO!G$7</f>
        <v>9692.0156249999982</v>
      </c>
      <c r="H52" s="178">
        <f>G52*H$7/G$7+INPUTS!G74*$C$4*INCO!H$7</f>
        <v>9934.316015624996</v>
      </c>
      <c r="I52" s="178">
        <f>H52*I$7/H$7+INPUTS!H74*$C$4*INCO!I$7</f>
        <v>10182.673916015621</v>
      </c>
      <c r="J52" s="178">
        <f>I52*J$7/I$7+INPUTS!I74*$C$4*INCO!J$7</f>
        <v>10437.240763916012</v>
      </c>
      <c r="K52" s="178">
        <f>J52*K$7/J$7+INPUTS!J74*$C$4*INCO!K$7</f>
        <v>10698.171783013911</v>
      </c>
      <c r="L52" s="159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</row>
    <row r="53" spans="1:81" outlineLevel="1">
      <c r="C53" s="11" t="str">
        <f>INPUTS!B75</f>
        <v>GASTOS GENERALES</v>
      </c>
      <c r="D53" s="192">
        <f>$C$4*INPUTS!C75</f>
        <v>30000</v>
      </c>
      <c r="E53" s="178">
        <f>D53*E$7/D$7+INPUTS!D75*$C$4*INCO!E$7</f>
        <v>30749.999999999996</v>
      </c>
      <c r="F53" s="178">
        <f>E53*F$7/E$7+INPUTS!E75*$C$4*INCO!F$7</f>
        <v>31518.749999999996</v>
      </c>
      <c r="G53" s="178">
        <f>F53*G$7/F$7+INPUTS!F75*$C$4*INCO!G$7</f>
        <v>32306.718749999993</v>
      </c>
      <c r="H53" s="178">
        <f>G53*H$7/G$7+INPUTS!G75*$C$4*INCO!H$7</f>
        <v>77266.902343749985</v>
      </c>
      <c r="I53" s="178">
        <f>H53*I$7/H$7+INPUTS!H75*$C$4*INCO!I$7</f>
        <v>79198.574902343724</v>
      </c>
      <c r="J53" s="178">
        <f>I53*J$7/I$7+INPUTS!I75*$C$4*INCO!J$7</f>
        <v>81178.539274902316</v>
      </c>
      <c r="K53" s="178">
        <f>J53*K$7/J$7+INPUTS!J75*$C$4*INCO!K$7</f>
        <v>83208.002756774862</v>
      </c>
      <c r="L53" s="159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</row>
    <row r="54" spans="1:81" s="4" customFormat="1" ht="12" outlineLevel="1" thickBot="1">
      <c r="A54" s="16"/>
      <c r="B54" s="51"/>
      <c r="C54" s="11" t="str">
        <f>INPUTS!B76</f>
        <v>ALQUILERES</v>
      </c>
      <c r="D54" s="192">
        <f>$C$4*INPUTS!C76</f>
        <v>18000</v>
      </c>
      <c r="E54" s="178">
        <f>D54*E$7/D$7+INPUTS!D76*$C$4*INCO!E$7</f>
        <v>18450</v>
      </c>
      <c r="F54" s="178">
        <f>E54*F$7/E$7+INPUTS!E76*$C$4*INCO!F$7</f>
        <v>18911.25</v>
      </c>
      <c r="G54" s="178">
        <f>F54*G$7/F$7+INPUTS!F76*$C$4*INCO!G$7</f>
        <v>19384.031249999996</v>
      </c>
      <c r="H54" s="178">
        <f>G54*H$7/G$7+INPUTS!G76*$C$4*INCO!H$7</f>
        <v>19868.632031249992</v>
      </c>
      <c r="I54" s="178">
        <f>H54*I$7/H$7+INPUTS!H76*$C$4*INCO!I$7</f>
        <v>20365.347832031242</v>
      </c>
      <c r="J54" s="178">
        <f>I54*J$7/I$7+INPUTS!I76*$C$4*INCO!J$7</f>
        <v>20874.481527832024</v>
      </c>
      <c r="K54" s="178">
        <f>J54*K$7/J$7+INPUTS!J76*$C$4*INCO!K$7</f>
        <v>21396.343566027823</v>
      </c>
      <c r="L54" s="159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</row>
    <row r="55" spans="1:81" outlineLevel="1">
      <c r="B55" s="51"/>
      <c r="C55" s="11" t="str">
        <f>INPUTS!B77</f>
        <v>SEGUROS Y TRIBUTOS</v>
      </c>
      <c r="D55" s="192">
        <f>$C$4*INPUTS!C77</f>
        <v>24000</v>
      </c>
      <c r="E55" s="178">
        <f>D55*E$7/D$7+INPUTS!D77*$C$4*INCO!E$7</f>
        <v>24599.999999999996</v>
      </c>
      <c r="F55" s="178">
        <f>E55*F$7/E$7+INPUTS!E77*$C$4*INCO!F$7</f>
        <v>25214.999999999996</v>
      </c>
      <c r="G55" s="178">
        <f>F55*G$7/F$7+INPUTS!F77*$C$4*INCO!G$7</f>
        <v>47383.187499999993</v>
      </c>
      <c r="H55" s="178">
        <f>G55*H$7/G$7+INPUTS!G77*$C$4*INCO!H$7</f>
        <v>48567.767187499987</v>
      </c>
      <c r="I55" s="178">
        <f>H55*I$7/H$7+INPUTS!H77*$C$4*INCO!I$7</f>
        <v>49781.961367187483</v>
      </c>
      <c r="J55" s="178">
        <f>I55*J$7/I$7+INPUTS!I77*$C$4*INCO!J$7</f>
        <v>51026.510401367166</v>
      </c>
      <c r="K55" s="178">
        <f>J55*K$7/J$7+INPUTS!J77*$C$4*INCO!K$7</f>
        <v>52302.173161401341</v>
      </c>
      <c r="L55" s="159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</row>
    <row r="56" spans="1:81" outlineLevel="1">
      <c r="C56" s="11" t="str">
        <f>INPUTS!B78</f>
        <v>OTROS</v>
      </c>
      <c r="D56" s="192">
        <f>$C$4*INPUTS!C78</f>
        <v>25000</v>
      </c>
      <c r="E56" s="178">
        <f>D56*E$7/D$7+INPUTS!D78*$C$4*INCO!E$7</f>
        <v>25624.999999999996</v>
      </c>
      <c r="F56" s="178">
        <f>E56*F$7/E$7+INPUTS!E78*$C$4*INCO!F$7</f>
        <v>26265.624999999996</v>
      </c>
      <c r="G56" s="178">
        <f>F56*G$7/F$7+INPUTS!F78*$C$4*INCO!G$7</f>
        <v>26922.265624999996</v>
      </c>
      <c r="H56" s="178">
        <f>G56*H$7/G$7+INPUTS!G78*$C$4*INCO!H$7</f>
        <v>27595.322265624993</v>
      </c>
      <c r="I56" s="178">
        <f>H56*I$7/H$7+INPUTS!H78*$C$4*INCO!I$7</f>
        <v>28285.205322265614</v>
      </c>
      <c r="J56" s="178">
        <f>I56*J$7/I$7+INPUTS!I78*$C$4*INCO!J$7</f>
        <v>28992.335455322253</v>
      </c>
      <c r="K56" s="178">
        <f>J56*K$7/J$7+INPUTS!J78*$C$4*INCO!K$7</f>
        <v>29717.143841705303</v>
      </c>
      <c r="L56" s="159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</row>
    <row r="57" spans="1:81" outlineLevel="1">
      <c r="C57" s="11" t="str">
        <f>INPUTS!B79</f>
        <v>GASTOS APERTURA</v>
      </c>
      <c r="D57" s="192">
        <f>$C$4*INPUTS!C79</f>
        <v>15000</v>
      </c>
      <c r="E57" s="178"/>
      <c r="F57" s="178"/>
      <c r="G57" s="178"/>
      <c r="H57" s="178"/>
      <c r="I57" s="178"/>
      <c r="J57" s="178"/>
      <c r="K57" s="178"/>
      <c r="L57" s="159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</row>
    <row r="58" spans="1:81" s="3" customFormat="1">
      <c r="A58" s="15"/>
      <c r="B58" s="136"/>
      <c r="C58" s="136" t="s">
        <v>12</v>
      </c>
      <c r="D58" s="177">
        <f t="shared" ref="D58:K58" si="28">SUM(D51:D57)</f>
        <v>261000</v>
      </c>
      <c r="E58" s="177">
        <f t="shared" si="28"/>
        <v>262400</v>
      </c>
      <c r="F58" s="177">
        <f t="shared" si="28"/>
        <v>268960</v>
      </c>
      <c r="G58" s="177">
        <f t="shared" si="28"/>
        <v>297221.81249999994</v>
      </c>
      <c r="H58" s="177">
        <f t="shared" si="28"/>
        <v>348804.87343749986</v>
      </c>
      <c r="I58" s="177">
        <f t="shared" si="28"/>
        <v>357524.99527343741</v>
      </c>
      <c r="J58" s="177">
        <f t="shared" si="28"/>
        <v>366463.1201552733</v>
      </c>
      <c r="K58" s="177">
        <f t="shared" si="28"/>
        <v>375624.69815915503</v>
      </c>
      <c r="L58" s="159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</row>
    <row r="59" spans="1:81" s="3" customFormat="1">
      <c r="A59" s="15"/>
      <c r="B59" s="15"/>
      <c r="C59" s="1" t="s">
        <v>228</v>
      </c>
      <c r="D59" s="178">
        <f>INPUTS!C80*(D51+D52+D56)</f>
        <v>5220</v>
      </c>
      <c r="E59" s="178">
        <f>INPUTS!D80*(E51+E52+E56)</f>
        <v>5658</v>
      </c>
      <c r="F59" s="178">
        <f>INPUTS!E80*(F51+F52+F56)</f>
        <v>5799.45</v>
      </c>
      <c r="G59" s="178">
        <f>INPUTS!F80*(G51+G52+G56)</f>
        <v>5944.4362499999988</v>
      </c>
      <c r="H59" s="178">
        <f>INPUTS!G80*(H51+H52+H56)</f>
        <v>6093.0471562499979</v>
      </c>
      <c r="I59" s="178">
        <f>INPUTS!H80*(I51+I52+I56)</f>
        <v>6245.3733351562469</v>
      </c>
      <c r="J59" s="178">
        <f>INPUTS!I80*(J51+J52+J56)</f>
        <v>6401.5076685351532</v>
      </c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  <c r="CC59" s="15"/>
    </row>
    <row r="60" spans="1:81">
      <c r="B60" s="6"/>
      <c r="C60" s="51"/>
      <c r="D60" s="179"/>
      <c r="E60" s="179"/>
      <c r="F60" s="179"/>
      <c r="G60" s="179"/>
      <c r="H60" s="179"/>
      <c r="I60" s="179"/>
      <c r="J60" s="179"/>
      <c r="K60" s="179"/>
      <c r="L60" s="159"/>
    </row>
    <row r="61" spans="1:81" s="12" customFormat="1" ht="12" thickBot="1">
      <c r="A61" s="15"/>
      <c r="B61" s="17" t="s">
        <v>13</v>
      </c>
      <c r="C61" s="52"/>
      <c r="D61" s="177">
        <f t="shared" ref="D61:K61" si="29">D50</f>
        <v>1</v>
      </c>
      <c r="E61" s="177">
        <f t="shared" si="29"/>
        <v>2</v>
      </c>
      <c r="F61" s="177">
        <f t="shared" si="29"/>
        <v>3</v>
      </c>
      <c r="G61" s="177">
        <f t="shared" si="29"/>
        <v>4</v>
      </c>
      <c r="H61" s="177">
        <f t="shared" si="29"/>
        <v>5</v>
      </c>
      <c r="I61" s="177">
        <f t="shared" si="29"/>
        <v>6</v>
      </c>
      <c r="J61" s="177">
        <f t="shared" si="29"/>
        <v>7</v>
      </c>
      <c r="K61" s="177">
        <f t="shared" si="29"/>
        <v>8</v>
      </c>
      <c r="L61" s="159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  <c r="CC61" s="15"/>
    </row>
    <row r="62" spans="1:81" s="7" customFormat="1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9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  <c r="CC62" s="15"/>
    </row>
    <row r="63" spans="1:81" s="7" customFormat="1">
      <c r="A63" s="15"/>
      <c r="B63" s="52" t="str">
        <f>B11</f>
        <v>Linea A</v>
      </c>
      <c r="C63" s="17" t="s">
        <v>33</v>
      </c>
      <c r="D63" s="177">
        <f t="shared" ref="D63:K63" si="30">SUM(D64:D66)</f>
        <v>105000</v>
      </c>
      <c r="E63" s="177">
        <f t="shared" si="30"/>
        <v>118387.5</v>
      </c>
      <c r="F63" s="177">
        <f t="shared" si="30"/>
        <v>133481.90625</v>
      </c>
      <c r="G63" s="177">
        <f t="shared" si="30"/>
        <v>150500.84929687507</v>
      </c>
      <c r="H63" s="177">
        <f t="shared" si="30"/>
        <v>161976.53905576176</v>
      </c>
      <c r="I63" s="177">
        <f t="shared" si="30"/>
        <v>174327.25015876358</v>
      </c>
      <c r="J63" s="177">
        <f t="shared" si="30"/>
        <v>185832.848669242</v>
      </c>
      <c r="K63" s="177">
        <f t="shared" si="30"/>
        <v>196193.02998255219</v>
      </c>
      <c r="L63" s="159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  <c r="CC63" s="15"/>
    </row>
    <row r="64" spans="1:81" outlineLevel="1">
      <c r="B64" s="11" t="s">
        <v>90</v>
      </c>
      <c r="C64" s="259">
        <f>$C$4*INPUTS!C64</f>
        <v>0.12</v>
      </c>
      <c r="D64" s="178">
        <f>$C64*D$12</f>
        <v>42000</v>
      </c>
      <c r="E64" s="178">
        <f t="shared" ref="E64:K64" si="31">$C64*E$12</f>
        <v>47355</v>
      </c>
      <c r="F64" s="178">
        <f t="shared" si="31"/>
        <v>53392.762500000004</v>
      </c>
      <c r="G64" s="178">
        <f t="shared" si="31"/>
        <v>60200.339718750016</v>
      </c>
      <c r="H64" s="178">
        <f t="shared" si="31"/>
        <v>64790.6156223047</v>
      </c>
      <c r="I64" s="178">
        <f t="shared" si="31"/>
        <v>69730.900063505425</v>
      </c>
      <c r="J64" s="178">
        <f t="shared" si="31"/>
        <v>74333.13946769679</v>
      </c>
      <c r="K64" s="178">
        <f t="shared" si="31"/>
        <v>78477.211993020872</v>
      </c>
      <c r="L64" s="159"/>
    </row>
    <row r="65" spans="1:81" outlineLevel="1">
      <c r="B65" s="11" t="s">
        <v>91</v>
      </c>
      <c r="C65" s="259">
        <f>$C$4*INPUTS!C65</f>
        <v>0.1</v>
      </c>
      <c r="D65" s="178">
        <f t="shared" ref="D65:K66" si="32">$C65*D$12</f>
        <v>35000</v>
      </c>
      <c r="E65" s="178">
        <f t="shared" si="32"/>
        <v>39462.5</v>
      </c>
      <c r="F65" s="178">
        <f t="shared" si="32"/>
        <v>44493.968750000007</v>
      </c>
      <c r="G65" s="178">
        <f t="shared" si="32"/>
        <v>50166.949765625017</v>
      </c>
      <c r="H65" s="178">
        <f t="shared" si="32"/>
        <v>53992.179685253919</v>
      </c>
      <c r="I65" s="178">
        <f t="shared" si="32"/>
        <v>58109.083386254526</v>
      </c>
      <c r="J65" s="178">
        <f t="shared" si="32"/>
        <v>61944.28288974733</v>
      </c>
      <c r="K65" s="178">
        <f t="shared" si="32"/>
        <v>65397.676660850731</v>
      </c>
      <c r="L65" s="159"/>
    </row>
    <row r="66" spans="1:81" outlineLevel="1" collapsed="1">
      <c r="B66" s="11" t="s">
        <v>92</v>
      </c>
      <c r="C66" s="259">
        <f>$C$4*INPUTS!C66</f>
        <v>0.08</v>
      </c>
      <c r="D66" s="178">
        <f t="shared" si="32"/>
        <v>28000</v>
      </c>
      <c r="E66" s="178">
        <f t="shared" si="32"/>
        <v>31570</v>
      </c>
      <c r="F66" s="178">
        <f t="shared" si="32"/>
        <v>35595.175000000003</v>
      </c>
      <c r="G66" s="178">
        <f t="shared" si="32"/>
        <v>40133.559812500011</v>
      </c>
      <c r="H66" s="178">
        <f t="shared" si="32"/>
        <v>43193.743748203138</v>
      </c>
      <c r="I66" s="178">
        <f t="shared" si="32"/>
        <v>46487.266709003619</v>
      </c>
      <c r="J66" s="178">
        <f t="shared" si="32"/>
        <v>49555.426311797863</v>
      </c>
      <c r="K66" s="178">
        <f t="shared" si="32"/>
        <v>52318.141328680584</v>
      </c>
      <c r="L66" s="159"/>
    </row>
    <row r="67" spans="1:81" s="8" customFormat="1">
      <c r="A67" s="16"/>
      <c r="B67" s="137"/>
      <c r="C67" s="64"/>
      <c r="D67" s="180"/>
      <c r="E67" s="180"/>
      <c r="F67" s="180"/>
      <c r="G67" s="180"/>
      <c r="H67" s="180"/>
      <c r="I67" s="180"/>
      <c r="J67" s="180"/>
      <c r="K67" s="180"/>
      <c r="L67" s="159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</row>
    <row r="68" spans="1:81" s="7" customFormat="1">
      <c r="A68" s="15"/>
      <c r="B68" s="52" t="str">
        <f>B17</f>
        <v>Linea B</v>
      </c>
      <c r="C68" s="190"/>
      <c r="D68" s="177">
        <f t="shared" ref="D68:K68" si="33">SUM(D69:D71)</f>
        <v>35200</v>
      </c>
      <c r="E68" s="177">
        <f t="shared" si="33"/>
        <v>39687.999999999993</v>
      </c>
      <c r="F68" s="177">
        <f t="shared" si="33"/>
        <v>44748.22</v>
      </c>
      <c r="G68" s="177">
        <f t="shared" si="33"/>
        <v>48160.271775000001</v>
      </c>
      <c r="H68" s="177">
        <f t="shared" si="33"/>
        <v>51832.492497843734</v>
      </c>
      <c r="I68" s="177">
        <f t="shared" si="33"/>
        <v>55784.720050804324</v>
      </c>
      <c r="J68" s="177">
        <f t="shared" si="33"/>
        <v>59466.511574157412</v>
      </c>
      <c r="K68" s="177">
        <f t="shared" si="33"/>
        <v>62781.769594416692</v>
      </c>
      <c r="L68" s="159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  <c r="CC68" s="15"/>
    </row>
    <row r="69" spans="1:81" outlineLevel="1">
      <c r="B69" s="11" t="s">
        <v>90</v>
      </c>
      <c r="C69" s="259">
        <f>$C$4*INPUTS!D64</f>
        <v>0.11</v>
      </c>
      <c r="D69" s="178">
        <f>$C69*D$18</f>
        <v>12100</v>
      </c>
      <c r="E69" s="178">
        <f t="shared" ref="E69:K69" si="34">$C69*E$18</f>
        <v>13642.749999999998</v>
      </c>
      <c r="F69" s="178">
        <f t="shared" si="34"/>
        <v>15382.200624999999</v>
      </c>
      <c r="G69" s="178">
        <f t="shared" si="34"/>
        <v>16555.093422656249</v>
      </c>
      <c r="H69" s="178">
        <f t="shared" si="34"/>
        <v>17817.419296133783</v>
      </c>
      <c r="I69" s="178">
        <f t="shared" si="34"/>
        <v>19175.997517463988</v>
      </c>
      <c r="J69" s="178">
        <f t="shared" si="34"/>
        <v>20441.613353616609</v>
      </c>
      <c r="K69" s="178">
        <f t="shared" si="34"/>
        <v>21581.233298080737</v>
      </c>
      <c r="L69" s="159"/>
    </row>
    <row r="70" spans="1:81" outlineLevel="1">
      <c r="B70" s="11" t="s">
        <v>91</v>
      </c>
      <c r="C70" s="259">
        <f>$C$4*INPUTS!D65</f>
        <v>0.12</v>
      </c>
      <c r="D70" s="178">
        <f t="shared" ref="D70:K71" si="35">$C70*D$18</f>
        <v>13200</v>
      </c>
      <c r="E70" s="178">
        <f t="shared" si="35"/>
        <v>14882.999999999998</v>
      </c>
      <c r="F70" s="178">
        <f t="shared" si="35"/>
        <v>16780.5825</v>
      </c>
      <c r="G70" s="178">
        <f t="shared" si="35"/>
        <v>18060.101915624997</v>
      </c>
      <c r="H70" s="178">
        <f t="shared" si="35"/>
        <v>19437.184686691402</v>
      </c>
      <c r="I70" s="178">
        <f t="shared" si="35"/>
        <v>20919.270019051623</v>
      </c>
      <c r="J70" s="178">
        <f t="shared" si="35"/>
        <v>22299.941840309028</v>
      </c>
      <c r="K70" s="178">
        <f t="shared" si="35"/>
        <v>23543.163597906256</v>
      </c>
      <c r="L70" s="159"/>
    </row>
    <row r="71" spans="1:81" outlineLevel="1">
      <c r="B71" s="11" t="s">
        <v>92</v>
      </c>
      <c r="C71" s="259">
        <f>$C$4*INPUTS!D66</f>
        <v>0.09</v>
      </c>
      <c r="D71" s="178">
        <f t="shared" si="35"/>
        <v>9900</v>
      </c>
      <c r="E71" s="178">
        <f t="shared" si="35"/>
        <v>11162.249999999998</v>
      </c>
      <c r="F71" s="178">
        <f t="shared" si="35"/>
        <v>12585.436874999999</v>
      </c>
      <c r="G71" s="178">
        <f t="shared" si="35"/>
        <v>13545.076436718748</v>
      </c>
      <c r="H71" s="178">
        <f t="shared" si="35"/>
        <v>14577.888515018551</v>
      </c>
      <c r="I71" s="178">
        <f t="shared" si="35"/>
        <v>15689.452514288716</v>
      </c>
      <c r="J71" s="178">
        <f t="shared" si="35"/>
        <v>16724.956380231772</v>
      </c>
      <c r="K71" s="178">
        <f t="shared" si="35"/>
        <v>17657.372698429692</v>
      </c>
      <c r="L71" s="159"/>
    </row>
    <row r="72" spans="1:81" s="8" customFormat="1">
      <c r="A72" s="16"/>
      <c r="B72" s="137"/>
      <c r="C72" s="64"/>
      <c r="D72" s="180"/>
      <c r="E72" s="180"/>
      <c r="F72" s="180"/>
      <c r="G72" s="180"/>
      <c r="H72" s="180"/>
      <c r="I72" s="180"/>
      <c r="J72" s="180"/>
      <c r="K72" s="180"/>
      <c r="L72" s="159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</row>
    <row r="73" spans="1:81" s="7" customFormat="1">
      <c r="A73" s="15"/>
      <c r="B73" s="52" t="str">
        <f>B23</f>
        <v>Linea C</v>
      </c>
      <c r="C73" s="190"/>
      <c r="D73" s="177">
        <f t="shared" ref="D73:K73" si="36">SUM(D74:D76)</f>
        <v>0</v>
      </c>
      <c r="E73" s="177">
        <f t="shared" si="36"/>
        <v>26383.5</v>
      </c>
      <c r="F73" s="177">
        <f t="shared" si="36"/>
        <v>29747.396250000002</v>
      </c>
      <c r="G73" s="177">
        <f t="shared" si="36"/>
        <v>33540.189271875002</v>
      </c>
      <c r="H73" s="177">
        <f t="shared" si="36"/>
        <v>35410.054823782033</v>
      </c>
      <c r="I73" s="177">
        <f t="shared" si="36"/>
        <v>37384.16538020788</v>
      </c>
      <c r="J73" s="177">
        <f t="shared" si="36"/>
        <v>39468.33260015447</v>
      </c>
      <c r="K73" s="177">
        <f t="shared" si="36"/>
        <v>41668.692142613072</v>
      </c>
      <c r="L73" s="159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  <c r="CC73" s="15"/>
    </row>
    <row r="74" spans="1:81" outlineLevel="1">
      <c r="B74" s="11" t="s">
        <v>90</v>
      </c>
      <c r="C74" s="259">
        <f>$C$4*INPUTS!E64</f>
        <v>0.21</v>
      </c>
      <c r="D74" s="178">
        <f>$C74*D$24</f>
        <v>0</v>
      </c>
      <c r="E74" s="178">
        <f t="shared" ref="E74:K74" si="37">$C74*E$24</f>
        <v>12592.125</v>
      </c>
      <c r="F74" s="178">
        <f t="shared" si="37"/>
        <v>14197.6209375</v>
      </c>
      <c r="G74" s="178">
        <f t="shared" si="37"/>
        <v>16007.817607031251</v>
      </c>
      <c r="H74" s="178">
        <f t="shared" si="37"/>
        <v>16900.25343862324</v>
      </c>
      <c r="I74" s="178">
        <f t="shared" si="37"/>
        <v>17842.442567826485</v>
      </c>
      <c r="J74" s="178">
        <f t="shared" si="37"/>
        <v>18837.158740982817</v>
      </c>
      <c r="K74" s="178">
        <f t="shared" si="37"/>
        <v>19887.330340792603</v>
      </c>
      <c r="L74" s="159"/>
    </row>
    <row r="75" spans="1:81" outlineLevel="1">
      <c r="B75" s="11" t="s">
        <v>91</v>
      </c>
      <c r="C75" s="259">
        <f>$C$4*INPUTS!E65</f>
        <v>0.12</v>
      </c>
      <c r="D75" s="178">
        <f t="shared" ref="D75:K76" si="38">$C75*D$24</f>
        <v>0</v>
      </c>
      <c r="E75" s="178">
        <f t="shared" si="38"/>
        <v>7195.5</v>
      </c>
      <c r="F75" s="178">
        <f t="shared" si="38"/>
        <v>8112.9262499999995</v>
      </c>
      <c r="G75" s="178">
        <f t="shared" si="38"/>
        <v>9147.3243468750006</v>
      </c>
      <c r="H75" s="178">
        <f t="shared" si="38"/>
        <v>9657.2876792132811</v>
      </c>
      <c r="I75" s="178">
        <f t="shared" si="38"/>
        <v>10195.681467329421</v>
      </c>
      <c r="J75" s="178">
        <f t="shared" si="38"/>
        <v>10764.090709133037</v>
      </c>
      <c r="K75" s="178">
        <f t="shared" si="38"/>
        <v>11364.188766167203</v>
      </c>
      <c r="L75" s="159"/>
    </row>
    <row r="76" spans="1:81" outlineLevel="1">
      <c r="B76" s="11" t="s">
        <v>92</v>
      </c>
      <c r="C76" s="259">
        <f>$C$4*INPUTS!E66</f>
        <v>0.11</v>
      </c>
      <c r="D76" s="178">
        <f t="shared" si="38"/>
        <v>0</v>
      </c>
      <c r="E76" s="178">
        <f t="shared" si="38"/>
        <v>6595.875</v>
      </c>
      <c r="F76" s="178">
        <f t="shared" si="38"/>
        <v>7436.8490625000004</v>
      </c>
      <c r="G76" s="178">
        <f t="shared" si="38"/>
        <v>8385.0473179687506</v>
      </c>
      <c r="H76" s="178">
        <f t="shared" si="38"/>
        <v>8852.5137059455083</v>
      </c>
      <c r="I76" s="178">
        <f t="shared" si="38"/>
        <v>9346.04134505197</v>
      </c>
      <c r="J76" s="178">
        <f t="shared" si="38"/>
        <v>9867.0831500386175</v>
      </c>
      <c r="K76" s="178">
        <f t="shared" si="38"/>
        <v>10417.173035653268</v>
      </c>
      <c r="L76" s="159"/>
    </row>
    <row r="77" spans="1:81" s="8" customFormat="1">
      <c r="A77" s="16"/>
      <c r="B77" s="137"/>
      <c r="C77" s="64"/>
      <c r="D77" s="180"/>
      <c r="E77" s="180"/>
      <c r="F77" s="180"/>
      <c r="G77" s="180"/>
      <c r="H77" s="180"/>
      <c r="I77" s="180"/>
      <c r="J77" s="180"/>
      <c r="K77" s="180"/>
      <c r="L77" s="159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</row>
    <row r="78" spans="1:81" s="7" customFormat="1">
      <c r="A78" s="15"/>
      <c r="B78" s="52" t="str">
        <f>B29</f>
        <v>Linea D</v>
      </c>
      <c r="C78" s="190"/>
      <c r="D78" s="177">
        <f t="shared" ref="D78:K78" si="39">SUM(D79:D81)</f>
        <v>0</v>
      </c>
      <c r="E78" s="177">
        <f t="shared" si="39"/>
        <v>0</v>
      </c>
      <c r="F78" s="177">
        <f t="shared" si="39"/>
        <v>33756.581250000003</v>
      </c>
      <c r="G78" s="177">
        <f t="shared" si="39"/>
        <v>38060.545359374999</v>
      </c>
      <c r="H78" s="177">
        <f t="shared" si="39"/>
        <v>39792.300173226562</v>
      </c>
      <c r="I78" s="177">
        <f t="shared" si="39"/>
        <v>41602.849831108368</v>
      </c>
      <c r="J78" s="177">
        <f t="shared" si="39"/>
        <v>43495.779498423784</v>
      </c>
      <c r="K78" s="177">
        <f t="shared" si="39"/>
        <v>45920.669205460908</v>
      </c>
      <c r="L78" s="159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15"/>
      <c r="CA78" s="15"/>
      <c r="CB78" s="15"/>
      <c r="CC78" s="15"/>
    </row>
    <row r="79" spans="1:81" outlineLevel="1">
      <c r="B79" s="11" t="s">
        <v>90</v>
      </c>
      <c r="C79" s="259">
        <f>$C$4*INPUTS!F64</f>
        <v>0.31</v>
      </c>
      <c r="D79" s="178">
        <f>$C79*D$30</f>
        <v>0</v>
      </c>
      <c r="E79" s="178">
        <f t="shared" ref="E79:K79" si="40">$C79*E$30</f>
        <v>0</v>
      </c>
      <c r="F79" s="178">
        <f t="shared" si="40"/>
        <v>20518.706249999999</v>
      </c>
      <c r="G79" s="178">
        <f t="shared" si="40"/>
        <v>23134.841296874998</v>
      </c>
      <c r="H79" s="178">
        <f t="shared" si="40"/>
        <v>24187.476575882811</v>
      </c>
      <c r="I79" s="178">
        <f t="shared" si="40"/>
        <v>25288.006760085478</v>
      </c>
      <c r="J79" s="178">
        <f t="shared" si="40"/>
        <v>26438.611067669361</v>
      </c>
      <c r="K79" s="178">
        <f t="shared" si="40"/>
        <v>27912.563634691924</v>
      </c>
      <c r="L79" s="159"/>
    </row>
    <row r="80" spans="1:81" outlineLevel="1">
      <c r="B80" s="11" t="s">
        <v>91</v>
      </c>
      <c r="C80" s="259">
        <f>$C$4*INPUTS!F65</f>
        <v>0.1</v>
      </c>
      <c r="D80" s="178">
        <f t="shared" ref="D80:K81" si="41">$C80*D$30</f>
        <v>0</v>
      </c>
      <c r="E80" s="178">
        <f t="shared" si="41"/>
        <v>0</v>
      </c>
      <c r="F80" s="178">
        <f t="shared" si="41"/>
        <v>6618.9375</v>
      </c>
      <c r="G80" s="178">
        <f t="shared" si="41"/>
        <v>7462.8520312500004</v>
      </c>
      <c r="H80" s="178">
        <f t="shared" si="41"/>
        <v>7802.4117986718747</v>
      </c>
      <c r="I80" s="178">
        <f t="shared" si="41"/>
        <v>8157.4215355114447</v>
      </c>
      <c r="J80" s="178">
        <f t="shared" si="41"/>
        <v>8528.5842153772137</v>
      </c>
      <c r="K80" s="178">
        <f t="shared" si="41"/>
        <v>9004.0527853844924</v>
      </c>
      <c r="L80" s="159"/>
    </row>
    <row r="81" spans="1:81" outlineLevel="1">
      <c r="B81" s="11" t="s">
        <v>92</v>
      </c>
      <c r="C81" s="259">
        <f>$C$4*INPUTS!F66</f>
        <v>0.1</v>
      </c>
      <c r="D81" s="178">
        <f t="shared" si="41"/>
        <v>0</v>
      </c>
      <c r="E81" s="178">
        <f t="shared" si="41"/>
        <v>0</v>
      </c>
      <c r="F81" s="178">
        <f t="shared" si="41"/>
        <v>6618.9375</v>
      </c>
      <c r="G81" s="178">
        <f t="shared" si="41"/>
        <v>7462.8520312500004</v>
      </c>
      <c r="H81" s="178">
        <f t="shared" si="41"/>
        <v>7802.4117986718747</v>
      </c>
      <c r="I81" s="178">
        <f t="shared" si="41"/>
        <v>8157.4215355114447</v>
      </c>
      <c r="J81" s="178">
        <f t="shared" si="41"/>
        <v>8528.5842153772137</v>
      </c>
      <c r="K81" s="178">
        <f t="shared" si="41"/>
        <v>9004.0527853844924</v>
      </c>
      <c r="L81" s="159"/>
    </row>
    <row r="82" spans="1:81" s="8" customFormat="1">
      <c r="A82" s="16"/>
      <c r="B82" s="138"/>
      <c r="C82" s="172"/>
      <c r="D82" s="181"/>
      <c r="E82" s="181"/>
      <c r="F82" s="181"/>
      <c r="G82" s="181"/>
      <c r="H82" s="181"/>
      <c r="I82" s="181"/>
      <c r="J82" s="181"/>
      <c r="K82" s="181"/>
      <c r="L82" s="159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</row>
    <row r="83" spans="1:81" s="8" customFormat="1">
      <c r="A83" s="16"/>
      <c r="B83" s="172" t="str">
        <f>INPUTS!G54</f>
        <v>Linea E</v>
      </c>
      <c r="C83" s="172"/>
      <c r="D83" s="177">
        <f>SUM(D84:D86)</f>
        <v>0</v>
      </c>
      <c r="E83" s="177">
        <f t="shared" ref="E83:J83" si="42">SUM(E84:E86)</f>
        <v>0</v>
      </c>
      <c r="F83" s="177">
        <f t="shared" si="42"/>
        <v>0</v>
      </c>
      <c r="G83" s="177">
        <f t="shared" si="42"/>
        <v>60736.631249999999</v>
      </c>
      <c r="H83" s="177">
        <f t="shared" si="42"/>
        <v>63500.147971874991</v>
      </c>
      <c r="I83" s="177">
        <f t="shared" si="42"/>
        <v>66389.404704595305</v>
      </c>
      <c r="J83" s="177">
        <f t="shared" si="42"/>
        <v>69410.122618654379</v>
      </c>
      <c r="K83" s="177">
        <f>SUM(K84:K86)</f>
        <v>73279.736954644337</v>
      </c>
      <c r="L83" s="159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</row>
    <row r="84" spans="1:81" s="8" customFormat="1" outlineLevel="1">
      <c r="A84" s="16"/>
      <c r="B84" s="11" t="s">
        <v>90</v>
      </c>
      <c r="C84" s="259">
        <f>$C$4*INPUTS!G64</f>
        <v>0.23</v>
      </c>
      <c r="D84" s="178">
        <f>$C84*D$36</f>
        <v>0</v>
      </c>
      <c r="E84" s="178">
        <f t="shared" ref="E84:K84" si="43">$C84*E$36</f>
        <v>0</v>
      </c>
      <c r="F84" s="178">
        <f t="shared" si="43"/>
        <v>0</v>
      </c>
      <c r="G84" s="178">
        <f t="shared" si="43"/>
        <v>29722.181249999998</v>
      </c>
      <c r="H84" s="178">
        <f t="shared" si="43"/>
        <v>31074.540496874994</v>
      </c>
      <c r="I84" s="178">
        <f t="shared" si="43"/>
        <v>32488.432089482805</v>
      </c>
      <c r="J84" s="178">
        <f t="shared" si="43"/>
        <v>33966.655749554273</v>
      </c>
      <c r="K84" s="178">
        <f t="shared" si="43"/>
        <v>35860.296807591913</v>
      </c>
      <c r="L84" s="159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</row>
    <row r="85" spans="1:81" s="8" customFormat="1" outlineLevel="1">
      <c r="A85" s="16"/>
      <c r="B85" s="11" t="s">
        <v>91</v>
      </c>
      <c r="C85" s="259">
        <f>$C$4*INPUTS!G65</f>
        <v>0.12</v>
      </c>
      <c r="D85" s="178">
        <f t="shared" ref="D85:K86" si="44">$C85*D$36</f>
        <v>0</v>
      </c>
      <c r="E85" s="178">
        <f t="shared" si="44"/>
        <v>0</v>
      </c>
      <c r="F85" s="178">
        <f t="shared" si="44"/>
        <v>0</v>
      </c>
      <c r="G85" s="178">
        <f t="shared" si="44"/>
        <v>15507.224999999999</v>
      </c>
      <c r="H85" s="178">
        <f t="shared" si="44"/>
        <v>16212.803737499997</v>
      </c>
      <c r="I85" s="178">
        <f t="shared" si="44"/>
        <v>16950.486307556246</v>
      </c>
      <c r="J85" s="178">
        <f t="shared" si="44"/>
        <v>17721.733434550053</v>
      </c>
      <c r="K85" s="178">
        <f t="shared" si="44"/>
        <v>18709.720073526212</v>
      </c>
      <c r="L85" s="159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</row>
    <row r="86" spans="1:81" s="8" customFormat="1" outlineLevel="1">
      <c r="A86" s="16"/>
      <c r="B86" s="11" t="s">
        <v>92</v>
      </c>
      <c r="C86" s="259">
        <f>$C$4*INPUTS!G66</f>
        <v>0.12</v>
      </c>
      <c r="D86" s="178">
        <f t="shared" si="44"/>
        <v>0</v>
      </c>
      <c r="E86" s="178">
        <f t="shared" si="44"/>
        <v>0</v>
      </c>
      <c r="F86" s="178">
        <f t="shared" si="44"/>
        <v>0</v>
      </c>
      <c r="G86" s="178">
        <f t="shared" si="44"/>
        <v>15507.224999999999</v>
      </c>
      <c r="H86" s="178">
        <f t="shared" si="44"/>
        <v>16212.803737499997</v>
      </c>
      <c r="I86" s="178">
        <f t="shared" si="44"/>
        <v>16950.486307556246</v>
      </c>
      <c r="J86" s="178">
        <f t="shared" si="44"/>
        <v>17721.733434550053</v>
      </c>
      <c r="K86" s="178">
        <f t="shared" si="44"/>
        <v>18709.720073526212</v>
      </c>
      <c r="L86" s="159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  <c r="BF86" s="16"/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</row>
    <row r="87" spans="1:81" s="8" customFormat="1">
      <c r="A87" s="16"/>
      <c r="B87" s="138"/>
      <c r="C87" s="172"/>
      <c r="D87" s="181"/>
      <c r="E87" s="181"/>
      <c r="F87" s="181"/>
      <c r="G87" s="181"/>
      <c r="H87" s="181"/>
      <c r="I87" s="181"/>
      <c r="J87" s="181"/>
      <c r="K87" s="181"/>
      <c r="L87" s="159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</row>
    <row r="88" spans="1:81" s="8" customFormat="1">
      <c r="A88" s="16"/>
      <c r="B88" s="172" t="str">
        <f>INPUTS!H54</f>
        <v>Linea F</v>
      </c>
      <c r="C88" s="172"/>
      <c r="D88" s="177">
        <f>SUM(D89:D91)</f>
        <v>14720</v>
      </c>
      <c r="E88" s="177">
        <f t="shared" ref="E88:J88" si="45">SUM(E89:E91)</f>
        <v>20367.160000000003</v>
      </c>
      <c r="F88" s="177">
        <f t="shared" si="45"/>
        <v>27823.222790000003</v>
      </c>
      <c r="G88" s="177">
        <f t="shared" si="45"/>
        <v>39706.538736095004</v>
      </c>
      <c r="H88" s="177">
        <f t="shared" si="45"/>
        <v>44520.645683292212</v>
      </c>
      <c r="I88" s="177">
        <f t="shared" si="45"/>
        <v>49925.892053243893</v>
      </c>
      <c r="J88" s="177">
        <f t="shared" si="45"/>
        <v>55084.228838401934</v>
      </c>
      <c r="K88" s="177">
        <f>SUM(K89:K91)</f>
        <v>59899.829834027114</v>
      </c>
      <c r="L88" s="159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</row>
    <row r="89" spans="1:81" s="8" customFormat="1" outlineLevel="1">
      <c r="A89" s="16"/>
      <c r="B89" s="11" t="s">
        <v>90</v>
      </c>
      <c r="C89" s="259">
        <f>$C$4*INPUTS!H64</f>
        <v>0.12</v>
      </c>
      <c r="D89" s="178">
        <f>$C89*D$42</f>
        <v>5520</v>
      </c>
      <c r="E89" s="178">
        <f t="shared" ref="E89:K89" si="46">$C89*E$42</f>
        <v>7637.6850000000004</v>
      </c>
      <c r="F89" s="178">
        <f t="shared" si="46"/>
        <v>10433.708546250002</v>
      </c>
      <c r="G89" s="178">
        <f t="shared" si="46"/>
        <v>14889.952026035628</v>
      </c>
      <c r="H89" s="178">
        <f t="shared" si="46"/>
        <v>16695.24213123458</v>
      </c>
      <c r="I89" s="178">
        <f t="shared" si="46"/>
        <v>18722.209519966462</v>
      </c>
      <c r="J89" s="178">
        <f t="shared" si="46"/>
        <v>20656.585814400722</v>
      </c>
      <c r="K89" s="178">
        <f t="shared" si="46"/>
        <v>22462.436187760166</v>
      </c>
      <c r="L89" s="159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</row>
    <row r="90" spans="1:81" s="8" customFormat="1" outlineLevel="1">
      <c r="A90" s="16"/>
      <c r="B90" s="11" t="s">
        <v>91</v>
      </c>
      <c r="C90" s="259">
        <f>$C$4*INPUTS!H65</f>
        <v>0.15</v>
      </c>
      <c r="D90" s="178">
        <f t="shared" ref="D90:K91" si="47">$C90*D$42</f>
        <v>6900</v>
      </c>
      <c r="E90" s="178">
        <f t="shared" si="47"/>
        <v>9547.1062500000007</v>
      </c>
      <c r="F90" s="178">
        <f t="shared" si="47"/>
        <v>13042.135682812503</v>
      </c>
      <c r="G90" s="178">
        <f t="shared" si="47"/>
        <v>18612.440032544535</v>
      </c>
      <c r="H90" s="178">
        <f t="shared" si="47"/>
        <v>20869.052664043225</v>
      </c>
      <c r="I90" s="178">
        <f t="shared" si="47"/>
        <v>23402.761899958077</v>
      </c>
      <c r="J90" s="178">
        <f t="shared" si="47"/>
        <v>25820.732268000906</v>
      </c>
      <c r="K90" s="178">
        <f t="shared" si="47"/>
        <v>28078.04523470021</v>
      </c>
      <c r="L90" s="159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</row>
    <row r="91" spans="1:81" s="8" customFormat="1" outlineLevel="1">
      <c r="A91" s="16"/>
      <c r="B91" s="11" t="s">
        <v>92</v>
      </c>
      <c r="C91" s="259">
        <f>$C$4*INPUTS!H66</f>
        <v>0.05</v>
      </c>
      <c r="D91" s="178">
        <f t="shared" si="47"/>
        <v>2300</v>
      </c>
      <c r="E91" s="178">
        <f t="shared" si="47"/>
        <v>3182.3687500000005</v>
      </c>
      <c r="F91" s="178">
        <f t="shared" si="47"/>
        <v>4347.3785609375009</v>
      </c>
      <c r="G91" s="178">
        <f t="shared" si="47"/>
        <v>6204.1466775148456</v>
      </c>
      <c r="H91" s="178">
        <f t="shared" si="47"/>
        <v>6956.3508880144091</v>
      </c>
      <c r="I91" s="178">
        <f t="shared" si="47"/>
        <v>7800.9206333193597</v>
      </c>
      <c r="J91" s="178">
        <f t="shared" si="47"/>
        <v>8606.9107560003013</v>
      </c>
      <c r="K91" s="178">
        <f t="shared" si="47"/>
        <v>9359.3484115667361</v>
      </c>
      <c r="L91" s="159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</row>
    <row r="92" spans="1:81" s="8" customFormat="1">
      <c r="A92" s="16"/>
      <c r="B92" s="138"/>
      <c r="C92" s="138"/>
      <c r="D92" s="181"/>
      <c r="E92" s="181"/>
      <c r="F92" s="181"/>
      <c r="G92" s="181"/>
      <c r="H92" s="181"/>
      <c r="I92" s="181"/>
      <c r="J92" s="181"/>
      <c r="K92" s="182"/>
      <c r="L92" s="159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</row>
    <row r="93" spans="1:81" s="3" customFormat="1">
      <c r="A93" s="15"/>
      <c r="B93" s="17"/>
      <c r="C93" s="136" t="s">
        <v>25</v>
      </c>
      <c r="D93" s="177">
        <f t="shared" ref="D93:K93" si="48">D63+D68+D73+D78+D83+D88</f>
        <v>154920</v>
      </c>
      <c r="E93" s="177">
        <f t="shared" si="48"/>
        <v>204826.16</v>
      </c>
      <c r="F93" s="177">
        <f t="shared" si="48"/>
        <v>269557.32654000004</v>
      </c>
      <c r="G93" s="177">
        <f t="shared" si="48"/>
        <v>370705.02568922006</v>
      </c>
      <c r="H93" s="177">
        <f t="shared" si="48"/>
        <v>397032.18020578125</v>
      </c>
      <c r="I93" s="177">
        <f t="shared" si="48"/>
        <v>425414.28217872331</v>
      </c>
      <c r="J93" s="177">
        <f t="shared" si="48"/>
        <v>452757.823799034</v>
      </c>
      <c r="K93" s="177">
        <f t="shared" si="48"/>
        <v>479743.7277137143</v>
      </c>
      <c r="L93" s="159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  <c r="BS93" s="15"/>
      <c r="BT93" s="15"/>
      <c r="BU93" s="15"/>
      <c r="BV93" s="15"/>
      <c r="BW93" s="15"/>
      <c r="BX93" s="15"/>
      <c r="BY93" s="15"/>
      <c r="BZ93" s="15"/>
      <c r="CA93" s="15"/>
      <c r="CB93" s="15"/>
      <c r="CC93" s="15"/>
    </row>
    <row r="94" spans="1:81" s="13" customFormat="1">
      <c r="A94" s="15"/>
      <c r="B94" s="15"/>
      <c r="C94" s="15"/>
      <c r="D94" s="190">
        <f t="shared" ref="D94:K94" si="49">D4</f>
        <v>1</v>
      </c>
      <c r="E94" s="190">
        <f t="shared" si="49"/>
        <v>2</v>
      </c>
      <c r="F94" s="190">
        <f t="shared" si="49"/>
        <v>3</v>
      </c>
      <c r="G94" s="190">
        <f t="shared" si="49"/>
        <v>4</v>
      </c>
      <c r="H94" s="190">
        <f t="shared" si="49"/>
        <v>5</v>
      </c>
      <c r="I94" s="190">
        <f t="shared" si="49"/>
        <v>6</v>
      </c>
      <c r="J94" s="190">
        <f t="shared" si="49"/>
        <v>7</v>
      </c>
      <c r="K94" s="190">
        <f t="shared" si="49"/>
        <v>8</v>
      </c>
      <c r="L94" s="159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  <c r="BO94" s="15"/>
      <c r="BP94" s="15"/>
      <c r="BQ94" s="15"/>
      <c r="BR94" s="15"/>
      <c r="BS94" s="15"/>
      <c r="BT94" s="15"/>
      <c r="BU94" s="15"/>
      <c r="BV94" s="15"/>
      <c r="BW94" s="15"/>
      <c r="BX94" s="15"/>
      <c r="BY94" s="15"/>
      <c r="BZ94" s="15"/>
      <c r="CA94" s="15"/>
      <c r="CB94" s="15"/>
      <c r="CC94" s="15"/>
    </row>
    <row r="95" spans="1:81" s="13" customFormat="1">
      <c r="A95" s="15"/>
      <c r="B95" s="50"/>
      <c r="C95" s="61" t="s">
        <v>102</v>
      </c>
      <c r="D95" s="183">
        <f>D64+D69+D74+D79+D84+D89</f>
        <v>59620</v>
      </c>
      <c r="E95" s="183">
        <f t="shared" ref="E95:K95" si="50">E64+E69+E74+E79+E84+E89</f>
        <v>81227.56</v>
      </c>
      <c r="F95" s="183">
        <f t="shared" si="50"/>
        <v>113924.99885875001</v>
      </c>
      <c r="G95" s="183">
        <f t="shared" si="50"/>
        <v>160510.22532134815</v>
      </c>
      <c r="H95" s="183">
        <f t="shared" si="50"/>
        <v>171465.54756105412</v>
      </c>
      <c r="I95" s="183">
        <f t="shared" si="50"/>
        <v>183247.98851833062</v>
      </c>
      <c r="J95" s="183">
        <f t="shared" si="50"/>
        <v>194673.76419392056</v>
      </c>
      <c r="K95" s="183">
        <f t="shared" si="50"/>
        <v>206181.07226193824</v>
      </c>
      <c r="L95" s="159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  <c r="CC95" s="15"/>
    </row>
    <row r="96" spans="1:81" s="13" customFormat="1">
      <c r="A96" s="15"/>
      <c r="B96" s="168"/>
      <c r="C96" s="168" t="s">
        <v>98</v>
      </c>
      <c r="D96" s="184">
        <f>D65+D70+D75+D80+D85+D90</f>
        <v>55100</v>
      </c>
      <c r="E96" s="184">
        <f t="shared" ref="E96:K96" si="51">E65+E70+E75+E80+E85+E90</f>
        <v>71088.106249999997</v>
      </c>
      <c r="F96" s="184">
        <f t="shared" si="51"/>
        <v>89048.550682812507</v>
      </c>
      <c r="G96" s="184">
        <f t="shared" si="51"/>
        <v>118956.89309191956</v>
      </c>
      <c r="H96" s="184">
        <f t="shared" si="51"/>
        <v>127970.9202513737</v>
      </c>
      <c r="I96" s="184">
        <f t="shared" si="51"/>
        <v>137734.70461566132</v>
      </c>
      <c r="J96" s="184">
        <f t="shared" si="51"/>
        <v>147079.36535711758</v>
      </c>
      <c r="K96" s="184">
        <f t="shared" si="51"/>
        <v>156096.84711853511</v>
      </c>
      <c r="L96" s="159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5"/>
      <c r="CB96" s="15"/>
      <c r="CC96" s="15"/>
    </row>
    <row r="97" spans="1:81" s="13" customFormat="1">
      <c r="A97" s="15"/>
      <c r="B97" s="31"/>
      <c r="C97" s="63" t="s">
        <v>56</v>
      </c>
      <c r="D97" s="185">
        <f>D66+D71+D76+D81+D86+D91</f>
        <v>40200</v>
      </c>
      <c r="E97" s="185">
        <f t="shared" ref="E97:K97" si="52">E66+E71+E76+E81+E86+E91</f>
        <v>52510.493750000001</v>
      </c>
      <c r="F97" s="185">
        <f t="shared" si="52"/>
        <v>66583.776998437505</v>
      </c>
      <c r="G97" s="185">
        <f t="shared" si="52"/>
        <v>91237.907275952355</v>
      </c>
      <c r="H97" s="185">
        <f t="shared" si="52"/>
        <v>97595.712393353489</v>
      </c>
      <c r="I97" s="185">
        <f t="shared" si="52"/>
        <v>104431.58904473134</v>
      </c>
      <c r="J97" s="185">
        <f t="shared" si="52"/>
        <v>111004.69424799582</v>
      </c>
      <c r="K97" s="185">
        <f t="shared" si="52"/>
        <v>117465.80833324099</v>
      </c>
      <c r="L97" s="159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  <c r="CC97" s="15"/>
    </row>
    <row r="98" spans="1:81" s="13" customFormat="1">
      <c r="A98" s="15"/>
      <c r="B98" s="24"/>
      <c r="C98" s="62" t="s">
        <v>61</v>
      </c>
      <c r="D98" s="186">
        <f t="shared" ref="D98:K98" si="53">D93-D97</f>
        <v>114720</v>
      </c>
      <c r="E98" s="186">
        <f t="shared" si="53"/>
        <v>152315.66625000001</v>
      </c>
      <c r="F98" s="186">
        <f t="shared" si="53"/>
        <v>202973.54954156253</v>
      </c>
      <c r="G98" s="186">
        <f t="shared" si="53"/>
        <v>279467.11841326772</v>
      </c>
      <c r="H98" s="186">
        <f t="shared" si="53"/>
        <v>299436.46781242779</v>
      </c>
      <c r="I98" s="186">
        <f t="shared" si="53"/>
        <v>320982.69313399197</v>
      </c>
      <c r="J98" s="186">
        <f t="shared" si="53"/>
        <v>341753.12955103815</v>
      </c>
      <c r="K98" s="186">
        <f t="shared" si="53"/>
        <v>362277.91938047332</v>
      </c>
      <c r="L98" s="159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  <c r="CC98" s="15"/>
    </row>
    <row r="99" spans="1:81" s="13" customFormat="1">
      <c r="A99" s="15"/>
      <c r="B99" s="15"/>
      <c r="C99" s="29"/>
      <c r="D99" s="182"/>
      <c r="E99" s="182"/>
      <c r="F99" s="182"/>
      <c r="G99" s="182"/>
      <c r="H99" s="182"/>
      <c r="I99" s="182"/>
      <c r="J99" s="182"/>
      <c r="K99" s="182"/>
      <c r="L99" s="159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5"/>
      <c r="CC99" s="15"/>
    </row>
    <row r="100" spans="1:81" s="9" customFormat="1" ht="12" thickBot="1">
      <c r="A100" s="15"/>
      <c r="B100" s="7"/>
      <c r="C100" s="54" t="s">
        <v>59</v>
      </c>
      <c r="D100" s="187">
        <f t="shared" ref="D100:K100" si="54">D58+D93</f>
        <v>415920</v>
      </c>
      <c r="E100" s="187">
        <f t="shared" si="54"/>
        <v>467226.16000000003</v>
      </c>
      <c r="F100" s="187">
        <f t="shared" si="54"/>
        <v>538517.32654000004</v>
      </c>
      <c r="G100" s="187">
        <f t="shared" si="54"/>
        <v>667926.83818922006</v>
      </c>
      <c r="H100" s="187">
        <f t="shared" si="54"/>
        <v>745837.05364328111</v>
      </c>
      <c r="I100" s="187">
        <f t="shared" si="54"/>
        <v>782939.27745216072</v>
      </c>
      <c r="J100" s="187">
        <f t="shared" si="54"/>
        <v>819220.94395430735</v>
      </c>
      <c r="K100" s="187">
        <f t="shared" si="54"/>
        <v>855368.42587286932</v>
      </c>
      <c r="L100" s="159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  <c r="BO100" s="15"/>
      <c r="BP100" s="15"/>
      <c r="BQ100" s="15"/>
      <c r="BR100" s="15"/>
      <c r="BS100" s="15"/>
      <c r="BT100" s="15"/>
      <c r="BU100" s="15"/>
      <c r="BV100" s="15"/>
      <c r="BW100" s="15"/>
      <c r="BX100" s="15"/>
      <c r="BY100" s="15"/>
      <c r="BZ100" s="15"/>
      <c r="CA100" s="15"/>
      <c r="CB100" s="15"/>
      <c r="CC100" s="15"/>
    </row>
    <row r="101" spans="1:81" s="7" customFormat="1">
      <c r="A101" s="15"/>
      <c r="D101" s="188"/>
      <c r="E101" s="188"/>
      <c r="F101" s="188"/>
      <c r="G101" s="188"/>
      <c r="H101" s="188"/>
      <c r="I101" s="188"/>
      <c r="J101" s="188"/>
      <c r="K101" s="188"/>
      <c r="L101" s="159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5"/>
      <c r="BO101" s="15"/>
      <c r="BP101" s="15"/>
      <c r="BQ101" s="15"/>
      <c r="BR101" s="15"/>
      <c r="BS101" s="15"/>
      <c r="BT101" s="15"/>
      <c r="BU101" s="15"/>
      <c r="BV101" s="15"/>
      <c r="BW101" s="15"/>
      <c r="BX101" s="15"/>
      <c r="BY101" s="15"/>
      <c r="BZ101" s="15"/>
      <c r="CA101" s="15"/>
      <c r="CB101" s="15"/>
      <c r="CC101" s="15"/>
    </row>
    <row r="102" spans="1:81" ht="12.75">
      <c r="B102" s="293" t="s">
        <v>101</v>
      </c>
      <c r="C102" s="159">
        <f>D95*INPUTS!$C$86/12</f>
        <v>4968.333333333333</v>
      </c>
      <c r="D102" s="159">
        <f>E95*INPUTS!$C$86/12</f>
        <v>6768.9633333333331</v>
      </c>
      <c r="E102" s="159">
        <f>F95*INPUTS!$C$86/12</f>
        <v>9493.7499048958343</v>
      </c>
      <c r="F102" s="159">
        <f>G95*INPUTS!$C$86/12</f>
        <v>13375.852110112346</v>
      </c>
      <c r="G102" s="159">
        <f>H95*INPUTS!$C$86/12</f>
        <v>14288.795630087843</v>
      </c>
      <c r="H102" s="159">
        <f>I95*INPUTS!$C$86/12</f>
        <v>15270.665709860885</v>
      </c>
      <c r="I102" s="159">
        <f>J95*INPUTS!$C$86/12</f>
        <v>16222.813682826714</v>
      </c>
      <c r="J102" s="159">
        <f>K95*INPUTS!$C$86/12</f>
        <v>17181.756021828187</v>
      </c>
      <c r="K102" s="175"/>
      <c r="L102" s="159"/>
    </row>
    <row r="103" spans="1:81" ht="12.75">
      <c r="B103" s="293" t="s">
        <v>219</v>
      </c>
      <c r="C103" s="159"/>
      <c r="D103" s="159">
        <f>(E95)*INPUTS!$C$87/12</f>
        <v>6768.9633333333331</v>
      </c>
      <c r="E103" s="159">
        <f>(F95)*INPUTS!$C$87/12</f>
        <v>9493.7499048958343</v>
      </c>
      <c r="F103" s="159">
        <f>(G95)*INPUTS!$C$87/12</f>
        <v>13375.852110112346</v>
      </c>
      <c r="G103" s="159">
        <f>(H95)*INPUTS!$C$87/12</f>
        <v>14288.795630087843</v>
      </c>
      <c r="H103" s="159">
        <f>(I95)*INPUTS!$C$87/12</f>
        <v>15270.665709860885</v>
      </c>
      <c r="I103" s="159">
        <f>(J95)*INPUTS!$C$87/12</f>
        <v>16222.813682826714</v>
      </c>
      <c r="J103" s="159">
        <f>(K95)*INPUTS!$C$87/12</f>
        <v>17181.756021828187</v>
      </c>
      <c r="K103" s="175"/>
      <c r="L103" s="159"/>
    </row>
    <row r="104" spans="1:81" ht="12.75">
      <c r="B104" s="293" t="s">
        <v>220</v>
      </c>
      <c r="C104" s="159"/>
      <c r="D104" s="159">
        <f>(E96)*INPUTS!$C$87/12</f>
        <v>5924.0088541666664</v>
      </c>
      <c r="E104" s="159">
        <f>(F96)*INPUTS!$C$87/12</f>
        <v>7420.7125569010423</v>
      </c>
      <c r="F104" s="159">
        <f>(G96)*INPUTS!$C$87/12</f>
        <v>9913.074424326629</v>
      </c>
      <c r="G104" s="159">
        <f>(H96)*INPUTS!$C$87/12</f>
        <v>10664.243354281141</v>
      </c>
      <c r="H104" s="159">
        <f>(I96)*INPUTS!$C$87/12</f>
        <v>11477.892051305111</v>
      </c>
      <c r="I104" s="159">
        <f>(J96)*INPUTS!$C$87/12</f>
        <v>12256.613779759798</v>
      </c>
      <c r="J104" s="159">
        <f>(K96)*INPUTS!$C$87/12</f>
        <v>13008.07059321126</v>
      </c>
      <c r="K104" s="175"/>
      <c r="L104" s="159"/>
    </row>
    <row r="105" spans="1:81" ht="12.75">
      <c r="B105" s="293" t="s">
        <v>218</v>
      </c>
      <c r="C105" s="159"/>
      <c r="D105" s="159">
        <f>(E95+E96)*INPUTS!$C$87/12</f>
        <v>12692.972187500001</v>
      </c>
      <c r="E105" s="159">
        <f>(F95+F96)*INPUTS!$C$87/12</f>
        <v>16914.462461796877</v>
      </c>
      <c r="F105" s="159">
        <f>(G95+G96)*INPUTS!$C$87/12</f>
        <v>23288.926534438975</v>
      </c>
      <c r="G105" s="159">
        <f>(H95+H96)*INPUTS!$C$87/12</f>
        <v>24953.038984368981</v>
      </c>
      <c r="H105" s="159">
        <f>(I95+I96)*INPUTS!$C$87/12</f>
        <v>26748.557761165994</v>
      </c>
      <c r="I105" s="159">
        <f>(J95+J96)*INPUTS!$C$87/12</f>
        <v>28479.427462586511</v>
      </c>
      <c r="J105" s="159">
        <f>(K95+K96)*INPUTS!$C$87/12</f>
        <v>30189.826615039445</v>
      </c>
      <c r="K105" s="175"/>
      <c r="L105" s="159"/>
    </row>
    <row r="106" spans="1:81" ht="12.75">
      <c r="B106" s="293" t="s">
        <v>99</v>
      </c>
      <c r="D106" s="159">
        <f>D95+D103-C103</f>
        <v>66388.963333333333</v>
      </c>
      <c r="E106" s="159">
        <f t="shared" ref="E106:J106" si="55">E95+E103-D103</f>
        <v>83952.346571562506</v>
      </c>
      <c r="F106" s="159">
        <f t="shared" si="55"/>
        <v>117807.10106396652</v>
      </c>
      <c r="G106" s="159">
        <f t="shared" si="55"/>
        <v>161423.16884132364</v>
      </c>
      <c r="H106" s="159">
        <f t="shared" si="55"/>
        <v>172447.41764082716</v>
      </c>
      <c r="I106" s="159">
        <f t="shared" si="55"/>
        <v>184200.13649129643</v>
      </c>
      <c r="J106" s="159">
        <f t="shared" si="55"/>
        <v>195632.70653292205</v>
      </c>
      <c r="K106" s="159"/>
      <c r="L106" s="159"/>
    </row>
    <row r="107" spans="1:81" ht="12.75">
      <c r="B107" s="293" t="s">
        <v>100</v>
      </c>
      <c r="C107" s="159">
        <f>C102</f>
        <v>4968.333333333333</v>
      </c>
      <c r="D107" s="159">
        <f>D102-C102+D106</f>
        <v>68189.593333333338</v>
      </c>
      <c r="E107" s="159">
        <f t="shared" ref="E107:J107" si="56">E102-D102+E106</f>
        <v>86677.133143125015</v>
      </c>
      <c r="F107" s="159">
        <f t="shared" si="56"/>
        <v>121689.20326918302</v>
      </c>
      <c r="G107" s="159">
        <f t="shared" si="56"/>
        <v>162336.11236129914</v>
      </c>
      <c r="H107" s="159">
        <f t="shared" si="56"/>
        <v>173429.2877206002</v>
      </c>
      <c r="I107" s="159">
        <f t="shared" si="56"/>
        <v>185152.28446426225</v>
      </c>
      <c r="J107" s="159">
        <f t="shared" si="56"/>
        <v>196591.64887192353</v>
      </c>
      <c r="K107" s="159"/>
      <c r="L107" s="159"/>
    </row>
    <row r="108" spans="1:81" ht="12.75">
      <c r="B108" s="293" t="s">
        <v>221</v>
      </c>
      <c r="D108" s="159">
        <f>D96+D104-C104</f>
        <v>61024.008854166663</v>
      </c>
      <c r="E108" s="159">
        <f t="shared" ref="E108:J108" si="57">E96+E104-D104</f>
        <v>72584.809952734373</v>
      </c>
      <c r="F108" s="159">
        <f t="shared" si="57"/>
        <v>91540.912550238092</v>
      </c>
      <c r="G108" s="159">
        <f t="shared" si="57"/>
        <v>119708.06202187407</v>
      </c>
      <c r="H108" s="159">
        <f t="shared" si="57"/>
        <v>128784.56894839765</v>
      </c>
      <c r="I108" s="159">
        <f t="shared" si="57"/>
        <v>138513.42634411601</v>
      </c>
      <c r="J108" s="159">
        <f t="shared" si="57"/>
        <v>147830.82217056904</v>
      </c>
      <c r="K108" s="159"/>
      <c r="L108" s="159"/>
    </row>
    <row r="109" spans="1:81" ht="12.75">
      <c r="B109" s="293" t="s">
        <v>103</v>
      </c>
      <c r="D109" s="159">
        <f>D108+D97</f>
        <v>101224.00885416666</v>
      </c>
      <c r="E109" s="159">
        <f t="shared" ref="E109:J109" si="58">E108+E97</f>
        <v>125095.30370273438</v>
      </c>
      <c r="F109" s="159">
        <f t="shared" si="58"/>
        <v>158124.68954867561</v>
      </c>
      <c r="G109" s="159">
        <f t="shared" si="58"/>
        <v>210945.96929782641</v>
      </c>
      <c r="H109" s="159">
        <f t="shared" si="58"/>
        <v>226380.28134175114</v>
      </c>
      <c r="I109" s="159">
        <f t="shared" si="58"/>
        <v>242945.01538884736</v>
      </c>
      <c r="J109" s="159">
        <f t="shared" si="58"/>
        <v>258835.51641856486</v>
      </c>
      <c r="K109" s="159"/>
      <c r="L109" s="159"/>
    </row>
    <row r="110" spans="1:81" ht="12.75">
      <c r="B110" s="293"/>
      <c r="D110" s="159"/>
      <c r="E110" s="159"/>
      <c r="F110" s="159"/>
      <c r="G110" s="159"/>
      <c r="H110" s="159"/>
      <c r="I110" s="159"/>
      <c r="J110" s="159"/>
    </row>
    <row r="111" spans="1:81">
      <c r="D111" s="32"/>
      <c r="E111" s="32"/>
      <c r="F111" s="32"/>
      <c r="G111" s="32"/>
      <c r="H111" s="32"/>
      <c r="I111" s="32"/>
      <c r="J111" s="32"/>
    </row>
    <row r="140" spans="4:12">
      <c r="D140" s="35"/>
      <c r="E140" s="35"/>
      <c r="G140" s="161"/>
      <c r="H140" s="161"/>
      <c r="I140" s="161"/>
      <c r="J140" s="161"/>
      <c r="K140" s="161"/>
      <c r="L140" s="161"/>
    </row>
    <row r="141" spans="4:12">
      <c r="D141" s="35"/>
      <c r="E141" s="35"/>
      <c r="G141" s="161"/>
      <c r="H141" s="161"/>
      <c r="I141" s="161"/>
      <c r="J141" s="161"/>
      <c r="K141" s="161"/>
      <c r="L141" s="161"/>
    </row>
    <row r="142" spans="4:12">
      <c r="D142" s="35"/>
      <c r="E142" s="35"/>
      <c r="G142" s="161"/>
      <c r="H142" s="161"/>
      <c r="I142" s="161"/>
      <c r="J142" s="161"/>
      <c r="K142" s="161"/>
      <c r="L142" s="161"/>
    </row>
    <row r="143" spans="4:12">
      <c r="D143" s="35"/>
      <c r="E143" s="35"/>
      <c r="G143" s="161"/>
      <c r="H143" s="161"/>
      <c r="I143" s="161"/>
      <c r="J143" s="161"/>
      <c r="K143" s="161"/>
      <c r="L143" s="161"/>
    </row>
  </sheetData>
  <customSheetViews>
    <customSheetView guid="{D4D7EB24-CC17-11D2-866F-0020AFB54048}" showRuler="0">
      <selection activeCell="E33" sqref="E33"/>
      <pageMargins left="0.33" right="0.25" top="1.1000000000000001" bottom="1" header="0.69" footer="0.511811024"/>
      <printOptions headings="1"/>
      <pageSetup paperSize="9" orientation="landscape" horizontalDpi="300" verticalDpi="300" r:id="rId1"/>
      <headerFooter alignWithMargins="0">
        <oddHeader>&amp;A</oddHeader>
        <oddFooter>&amp;LMODELEVA&amp;CDEPTO. ECONOMIA FINANCIERA&amp;RUNIVERSIDAD DE SANTIAGO</oddFooter>
      </headerFooter>
    </customSheetView>
    <customSheetView guid="{D4D7EB23-CC17-11D2-866F-0020AFB54048}" showRuler="0">
      <selection activeCell="E33" sqref="E33"/>
      <pageMargins left="0.33" right="0.25" top="1.1000000000000001" bottom="1" header="0.69" footer="0.511811024"/>
      <printOptions headings="1"/>
      <pageSetup paperSize="9" orientation="landscape" horizontalDpi="300" verticalDpi="300" r:id="rId2"/>
      <headerFooter alignWithMargins="0">
        <oddHeader>&amp;A</oddHeader>
        <oddFooter>&amp;LMODELEVA&amp;CDEPTO. ECONOMIA FINANCIERA&amp;RUNIVERSIDAD DE SANTIAGO</oddFooter>
      </headerFooter>
    </customSheetView>
  </customSheetViews>
  <phoneticPr fontId="4" type="noConversion"/>
  <dataValidations count="1">
    <dataValidation allowBlank="1" showInputMessage="1" showErrorMessage="1" prompt="Porcentaje sobre ingresos" sqref="C84:C86 C89:C91 C69:C71 C64:C66 C74:C76 C79:C81"/>
  </dataValidations>
  <printOptions headings="1"/>
  <pageMargins left="0.9055118110236221" right="0.35433070866141736" top="0.46" bottom="0.37" header="0.23" footer="0.18"/>
  <pageSetup paperSize="9" orientation="landscape" horizontalDpi="300" verticalDpi="300" r:id="rId3"/>
  <headerFooter alignWithMargins="0">
    <oddHeader>&amp;A</oddHeader>
    <oddFooter>&amp;C&amp;F&amp;R&amp;D</oddFooter>
  </headerFooter>
  <drawing r:id="rId4"/>
  <legacy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L31"/>
  <sheetViews>
    <sheetView showGridLines="0" workbookViewId="0">
      <pane xSplit="2" ySplit="3" topLeftCell="C4" activePane="bottomRight" state="frozen"/>
      <selection pane="topRight"/>
      <selection pane="bottomLeft"/>
      <selection pane="bottomRight" activeCell="E18" sqref="E18"/>
    </sheetView>
  </sheetViews>
  <sheetFormatPr baseColWidth="10" defaultRowHeight="12.75"/>
  <cols>
    <col min="1" max="1" width="7.85546875" customWidth="1"/>
    <col min="2" max="2" width="27.42578125" style="2" customWidth="1"/>
    <col min="3" max="4" width="10.42578125" style="175" customWidth="1"/>
    <col min="5" max="5" width="10.7109375" style="175" customWidth="1"/>
    <col min="6" max="9" width="10.42578125" style="175" customWidth="1"/>
    <col min="10" max="10" width="7.7109375" style="222" customWidth="1"/>
  </cols>
  <sheetData>
    <row r="1" spans="1:12">
      <c r="B1"/>
      <c r="C1" s="251"/>
      <c r="D1" s="251"/>
      <c r="E1" s="251"/>
      <c r="F1" s="251"/>
      <c r="G1" s="251"/>
      <c r="H1" s="251"/>
      <c r="I1" s="191"/>
    </row>
    <row r="2" spans="1:12" ht="13.5" thickBot="1">
      <c r="B2" s="51"/>
      <c r="C2" s="246"/>
      <c r="D2" s="207" t="str">
        <f>ESCENARIOS!C5</f>
        <v>Escenario  Base</v>
      </c>
      <c r="E2" s="246"/>
      <c r="F2" s="191"/>
      <c r="G2" s="191"/>
      <c r="H2" s="191"/>
      <c r="I2" s="191"/>
      <c r="K2" s="222"/>
      <c r="L2" s="222"/>
    </row>
    <row r="3" spans="1:12" ht="13.5" thickBot="1">
      <c r="B3" s="266" t="s">
        <v>5</v>
      </c>
      <c r="C3" s="300">
        <v>1</v>
      </c>
      <c r="D3" s="300">
        <f t="shared" ref="D3:I3" si="0">C3+1</f>
        <v>2</v>
      </c>
      <c r="E3" s="300">
        <f t="shared" si="0"/>
        <v>3</v>
      </c>
      <c r="F3" s="300">
        <f t="shared" si="0"/>
        <v>4</v>
      </c>
      <c r="G3" s="300">
        <f t="shared" si="0"/>
        <v>5</v>
      </c>
      <c r="H3" s="300">
        <f t="shared" si="0"/>
        <v>6</v>
      </c>
      <c r="I3" s="301">
        <f t="shared" si="0"/>
        <v>7</v>
      </c>
      <c r="K3" s="222"/>
      <c r="L3" s="222"/>
    </row>
    <row r="4" spans="1:12" ht="15" customHeight="1">
      <c r="A4" s="240"/>
      <c r="B4" s="297" t="s">
        <v>14</v>
      </c>
      <c r="C4" s="310">
        <f>INCO!D46</f>
        <v>506000</v>
      </c>
      <c r="D4" s="310">
        <f>INCO!E46</f>
        <v>642259.875</v>
      </c>
      <c r="E4" s="310">
        <f>INCO!F46</f>
        <v>805522.53996874997</v>
      </c>
      <c r="F4" s="310">
        <f>INCO!G46</f>
        <v>1056336.378706547</v>
      </c>
      <c r="G4" s="310">
        <f>INCO!H46</f>
        <v>1134633.566794585</v>
      </c>
      <c r="H4" s="310">
        <f>INCO!I46</f>
        <v>1219228.7768335242</v>
      </c>
      <c r="I4" s="311">
        <f>INCO!J46</f>
        <v>1300081.6027045192</v>
      </c>
    </row>
    <row r="5" spans="1:12" ht="15" customHeight="1">
      <c r="A5" s="240"/>
      <c r="B5" s="305" t="s">
        <v>244</v>
      </c>
      <c r="C5" s="264">
        <f>INPUTS!C68*ESCENARIOS!$C$11</f>
        <v>20000</v>
      </c>
      <c r="D5" s="264">
        <f>INPUTS!D68*ESCENARIOS!$C$11</f>
        <v>0</v>
      </c>
      <c r="E5" s="264">
        <f>INPUTS!E68*ESCENARIOS!$C$11</f>
        <v>0</v>
      </c>
      <c r="F5" s="264">
        <f>INPUTS!F68*ESCENARIOS!$C$11</f>
        <v>40000</v>
      </c>
      <c r="G5" s="264">
        <f>INPUTS!G68*ESCENARIOS!$C$11</f>
        <v>0</v>
      </c>
      <c r="H5" s="264">
        <f>INPUTS!H68*ESCENARIOS!$C$11</f>
        <v>0</v>
      </c>
      <c r="I5" s="303">
        <f>INPUTS!I68*ESCENARIOS!$C$11</f>
        <v>0</v>
      </c>
    </row>
    <row r="6" spans="1:12" ht="15" customHeight="1">
      <c r="A6" s="240"/>
      <c r="B6" s="82" t="s">
        <v>243</v>
      </c>
      <c r="C6" s="178">
        <f t="shared" ref="C6:I6" si="1">C4+C5</f>
        <v>526000</v>
      </c>
      <c r="D6" s="178">
        <f t="shared" si="1"/>
        <v>642259.875</v>
      </c>
      <c r="E6" s="178">
        <f t="shared" si="1"/>
        <v>805522.53996874997</v>
      </c>
      <c r="F6" s="178">
        <f t="shared" si="1"/>
        <v>1096336.378706547</v>
      </c>
      <c r="G6" s="178">
        <f t="shared" si="1"/>
        <v>1134633.566794585</v>
      </c>
      <c r="H6" s="178">
        <f t="shared" si="1"/>
        <v>1219228.7768335242</v>
      </c>
      <c r="I6" s="302">
        <f t="shared" si="1"/>
        <v>1300081.6027045192</v>
      </c>
    </row>
    <row r="7" spans="1:12" ht="15" customHeight="1">
      <c r="A7" s="241"/>
      <c r="B7" s="304" t="s">
        <v>13</v>
      </c>
      <c r="C7" s="178">
        <f>INCO!D93</f>
        <v>154920</v>
      </c>
      <c r="D7" s="178">
        <f>INCO!E93</f>
        <v>204826.16</v>
      </c>
      <c r="E7" s="178">
        <f>INCO!F93</f>
        <v>269557.32654000004</v>
      </c>
      <c r="F7" s="178">
        <f>INCO!G93</f>
        <v>370705.02568922006</v>
      </c>
      <c r="G7" s="178">
        <f>INCO!H93</f>
        <v>397032.18020578125</v>
      </c>
      <c r="H7" s="178">
        <f>INCO!I93</f>
        <v>425414.28217872331</v>
      </c>
      <c r="I7" s="302">
        <f>INCO!J93</f>
        <v>452757.823799034</v>
      </c>
    </row>
    <row r="8" spans="1:12" ht="15" customHeight="1">
      <c r="A8" s="240"/>
      <c r="B8" s="304" t="s">
        <v>9</v>
      </c>
      <c r="C8" s="178">
        <f>INCO!D58-INCO!D59</f>
        <v>255780</v>
      </c>
      <c r="D8" s="178">
        <f>INCO!E58-INCO!E59</f>
        <v>256742</v>
      </c>
      <c r="E8" s="178">
        <f>INCO!F58-INCO!F59</f>
        <v>263160.55</v>
      </c>
      <c r="F8" s="178">
        <f>INCO!G58-INCO!G59</f>
        <v>291277.37624999997</v>
      </c>
      <c r="G8" s="178">
        <f>INCO!H58-INCO!H59</f>
        <v>342711.82628124987</v>
      </c>
      <c r="H8" s="178">
        <f>INCO!I58-INCO!I59</f>
        <v>351279.62193828117</v>
      </c>
      <c r="I8" s="302">
        <f>INCO!J58-INCO!J59</f>
        <v>360061.61248673813</v>
      </c>
    </row>
    <row r="9" spans="1:12" ht="15" customHeight="1">
      <c r="A9" s="240"/>
      <c r="B9" s="304" t="s">
        <v>142</v>
      </c>
      <c r="C9" s="178">
        <f>INV!J47</f>
        <v>37384.400000000001</v>
      </c>
      <c r="D9" s="178">
        <f>INV!K47</f>
        <v>108538.39999999998</v>
      </c>
      <c r="E9" s="178">
        <f>INV!L47</f>
        <v>200458.70874999996</v>
      </c>
      <c r="F9" s="178">
        <f>INV!M47</f>
        <v>201633.67521874997</v>
      </c>
      <c r="G9" s="178">
        <f>INV!N47</f>
        <v>197822.56246874997</v>
      </c>
      <c r="H9" s="178">
        <f>INV!O47</f>
        <v>193001.17189999996</v>
      </c>
      <c r="I9" s="302">
        <f>INV!P47</f>
        <v>147591.24656703125</v>
      </c>
    </row>
    <row r="10" spans="1:12" ht="15" customHeight="1">
      <c r="A10" s="242"/>
      <c r="B10" s="304" t="s">
        <v>203</v>
      </c>
      <c r="C10" s="178">
        <f>1/7*ESCENARIOS!$C$11*INPUTS!C51</f>
        <v>2857.1428571428569</v>
      </c>
      <c r="D10" s="178">
        <f>1/7*ESCENARIOS!$C$11*INPUTS!D51+C10</f>
        <v>2857.1428571428569</v>
      </c>
      <c r="E10" s="178">
        <f>1/7*ESCENARIOS!$C$11*INPUTS!E51+D10</f>
        <v>2857.1428571428569</v>
      </c>
      <c r="F10" s="178">
        <f>1/7*ESCENARIOS!$C$11*INPUTS!F51+E10</f>
        <v>8571.4285714285706</v>
      </c>
      <c r="G10" s="178">
        <f>1/7*ESCENARIOS!$C$11*INPUTS!G51+F10</f>
        <v>8571.4285714285706</v>
      </c>
      <c r="H10" s="178">
        <f>1/7*ESCENARIOS!$C$11*INPUTS!H51+G10</f>
        <v>8571.4285714285706</v>
      </c>
      <c r="I10" s="302">
        <f>1/7*ESCENARIOS!$C$11*INPUTS!I51+H10</f>
        <v>8571.4285714285706</v>
      </c>
    </row>
    <row r="11" spans="1:12" ht="15" customHeight="1">
      <c r="A11" s="242"/>
      <c r="B11" s="365" t="s">
        <v>202</v>
      </c>
      <c r="C11" s="264">
        <f t="shared" ref="C11:I11" si="2">C6-C7-C8-C9+C10</f>
        <v>80772.742857142861</v>
      </c>
      <c r="D11" s="264">
        <f t="shared" si="2"/>
        <v>75010.457857142843</v>
      </c>
      <c r="E11" s="264">
        <f t="shared" si="2"/>
        <v>75203.097535892841</v>
      </c>
      <c r="F11" s="264">
        <f t="shared" si="2"/>
        <v>241291.73012000555</v>
      </c>
      <c r="G11" s="264">
        <f t="shared" si="2"/>
        <v>205638.42641023247</v>
      </c>
      <c r="H11" s="264">
        <f t="shared" si="2"/>
        <v>258105.12938794843</v>
      </c>
      <c r="I11" s="303">
        <f t="shared" si="2"/>
        <v>348242.34842314437</v>
      </c>
    </row>
    <row r="12" spans="1:12" ht="15" customHeight="1">
      <c r="B12" s="69" t="s">
        <v>31</v>
      </c>
      <c r="C12" s="178">
        <f>INPUTS!$C$46*BALANCE!C14</f>
        <v>0</v>
      </c>
      <c r="D12" s="178">
        <f>INPUTS!$C$46*BALANCE!D14</f>
        <v>0</v>
      </c>
      <c r="E12" s="178">
        <f>INPUTS!$C$46*BALANCE!E14</f>
        <v>-5.2386894822120665E-12</v>
      </c>
      <c r="F12" s="178">
        <f>INPUTS!$C$46*BALANCE!F14</f>
        <v>0</v>
      </c>
      <c r="G12" s="178">
        <f>INPUTS!$C$46*BALANCE!G14</f>
        <v>2.1827872842550277E-12</v>
      </c>
      <c r="H12" s="178">
        <f>INPUTS!$C$46*BALANCE!H14</f>
        <v>7102.1082427523052</v>
      </c>
      <c r="I12" s="302">
        <f>INPUTS!$C$46*BALANCE!I14</f>
        <v>18128.410289099033</v>
      </c>
    </row>
    <row r="13" spans="1:12" ht="15" customHeight="1">
      <c r="A13" s="242"/>
      <c r="B13" s="305" t="s">
        <v>112</v>
      </c>
      <c r="C13" s="264">
        <f>INPUTS!$C$45*BALANCE!C23</f>
        <v>15570.172916666666</v>
      </c>
      <c r="D13" s="264">
        <f>INPUTS!$C$45*BALANCE!D23</f>
        <v>28941.866110026036</v>
      </c>
      <c r="E13" s="264">
        <f>INPUTS!$C$45*BALANCE!E23</f>
        <v>46275.535468594557</v>
      </c>
      <c r="F13" s="264">
        <f>INPUTS!$C$45*BALANCE!F23</f>
        <v>27348.989635376671</v>
      </c>
      <c r="G13" s="264">
        <f>INPUTS!$C$45*BALANCE!G23</f>
        <v>4255.5763826085422</v>
      </c>
      <c r="H13" s="264">
        <f>INPUTS!$C$45*BALANCE!H23</f>
        <v>0</v>
      </c>
      <c r="I13" s="303">
        <f>INPUTS!$C$45*BALANCE!I23</f>
        <v>0</v>
      </c>
    </row>
    <row r="14" spans="1:12" ht="15" customHeight="1">
      <c r="A14" s="242"/>
      <c r="B14" s="306" t="s">
        <v>204</v>
      </c>
      <c r="C14" s="178">
        <f>C11+C12-C13</f>
        <v>65202.569940476198</v>
      </c>
      <c r="D14" s="178">
        <f t="shared" ref="D14:I14" si="3">D11+D12-D13</f>
        <v>46068.591747116807</v>
      </c>
      <c r="E14" s="178">
        <f t="shared" si="3"/>
        <v>28927.562067298284</v>
      </c>
      <c r="F14" s="178">
        <f t="shared" si="3"/>
        <v>213942.74048462888</v>
      </c>
      <c r="G14" s="178">
        <f t="shared" si="3"/>
        <v>201382.85002762394</v>
      </c>
      <c r="H14" s="178">
        <f t="shared" si="3"/>
        <v>265207.23763070075</v>
      </c>
      <c r="I14" s="302">
        <f t="shared" si="3"/>
        <v>366370.75871224341</v>
      </c>
    </row>
    <row r="15" spans="1:12" ht="15" customHeight="1">
      <c r="A15" s="243"/>
      <c r="B15" s="69" t="s">
        <v>205</v>
      </c>
      <c r="C15" s="178">
        <f>MAX(0,C19*INPUTS!$C$5)</f>
        <v>16300.64248511905</v>
      </c>
      <c r="D15" s="178">
        <f>MAX(0,D19*INPUTS!$C$5)</f>
        <v>11517.147936779202</v>
      </c>
      <c r="E15" s="178">
        <f>MAX(0,E19*INPUTS!$C$5)</f>
        <v>7231.890516824571</v>
      </c>
      <c r="F15" s="178">
        <f>MAX(0,F19*INPUTS!$C$5)</f>
        <v>53485.685121157221</v>
      </c>
      <c r="G15" s="178">
        <f>MAX(0,G19*INPUTS!$C$5)</f>
        <v>50345.712506905984</v>
      </c>
      <c r="H15" s="178">
        <f>MAX(0,H19*INPUTS!$C$5)</f>
        <v>66301.809407675188</v>
      </c>
      <c r="I15" s="302">
        <f>MAX(0,I19*INPUTS!$C$5)</f>
        <v>91592.689678060851</v>
      </c>
    </row>
    <row r="16" spans="1:12" ht="15" customHeight="1" thickBot="1">
      <c r="A16" s="243"/>
      <c r="B16" s="307" t="s">
        <v>206</v>
      </c>
      <c r="C16" s="265">
        <f t="shared" ref="C16:I16" si="4">C14-C15</f>
        <v>48901.927455357145</v>
      </c>
      <c r="D16" s="265">
        <f t="shared" si="4"/>
        <v>34551.443810337601</v>
      </c>
      <c r="E16" s="265">
        <f t="shared" si="4"/>
        <v>21695.671550473715</v>
      </c>
      <c r="F16" s="265">
        <f t="shared" si="4"/>
        <v>160457.05536347168</v>
      </c>
      <c r="G16" s="265">
        <f t="shared" si="4"/>
        <v>151037.13752071795</v>
      </c>
      <c r="H16" s="265">
        <f t="shared" si="4"/>
        <v>198905.42822302558</v>
      </c>
      <c r="I16" s="308">
        <f t="shared" si="4"/>
        <v>274778.06903418258</v>
      </c>
    </row>
    <row r="17" spans="1:10" s="2" customFormat="1" ht="13.5" thickBot="1">
      <c r="A17" s="244"/>
      <c r="C17" s="178"/>
      <c r="D17" s="178"/>
      <c r="E17" s="178"/>
      <c r="F17" s="178"/>
      <c r="G17" s="178"/>
      <c r="H17" s="178"/>
      <c r="I17" s="178"/>
      <c r="J17" s="222"/>
    </row>
    <row r="18" spans="1:10">
      <c r="A18" s="118"/>
      <c r="B18" s="309" t="s">
        <v>30</v>
      </c>
      <c r="C18" s="310"/>
      <c r="D18" s="310">
        <f>MAX(0,C16*INPUTS!C47)</f>
        <v>4890.1927455357145</v>
      </c>
      <c r="E18" s="310">
        <f>IF(BALANCE!E19&gt;=0,MAX(0,D16*INPUTS!$C$47),0)</f>
        <v>3455.1443810337605</v>
      </c>
      <c r="F18" s="310">
        <f>IF(BALANCE!F19&gt;=0,MAX(0,E16*INPUTS!$C$47),0)</f>
        <v>2169.5671550473717</v>
      </c>
      <c r="G18" s="310">
        <f>IF(BALANCE!G19&gt;=0,MAX(0,F16*INPUTS!$C$47),0)</f>
        <v>16045.705536347168</v>
      </c>
      <c r="H18" s="310">
        <f>IF(BALANCE!H19&gt;=0,MAX(0,G16*INPUTS!$C$47),0)</f>
        <v>15103.713752071795</v>
      </c>
      <c r="I18" s="311">
        <f>IF(BALANCE!I19&gt;=0,MAX(0,H16*INPUTS!$C$47),0)</f>
        <v>19890.542822302559</v>
      </c>
    </row>
    <row r="19" spans="1:10" ht="13.5" thickBot="1">
      <c r="B19" s="86" t="s">
        <v>15</v>
      </c>
      <c r="C19" s="312">
        <f>C14</f>
        <v>65202.569940476198</v>
      </c>
      <c r="D19" s="312">
        <f t="shared" ref="D19:I19" si="5">IF(C19&lt;0,C19+D14,D14)</f>
        <v>46068.591747116807</v>
      </c>
      <c r="E19" s="312">
        <f t="shared" si="5"/>
        <v>28927.562067298284</v>
      </c>
      <c r="F19" s="312">
        <f t="shared" si="5"/>
        <v>213942.74048462888</v>
      </c>
      <c r="G19" s="312">
        <f t="shared" si="5"/>
        <v>201382.85002762394</v>
      </c>
      <c r="H19" s="312">
        <f t="shared" si="5"/>
        <v>265207.23763070075</v>
      </c>
      <c r="I19" s="313">
        <f t="shared" si="5"/>
        <v>366370.75871224341</v>
      </c>
    </row>
    <row r="20" spans="1:10">
      <c r="B20"/>
      <c r="D20" s="222"/>
      <c r="E20" s="222"/>
      <c r="F20" s="252"/>
      <c r="G20" s="222"/>
      <c r="H20" s="222"/>
      <c r="I20" s="252"/>
    </row>
    <row r="21" spans="1:10">
      <c r="C21" s="178"/>
      <c r="D21" s="178"/>
      <c r="E21" s="178"/>
      <c r="F21" s="178"/>
      <c r="G21" s="178"/>
      <c r="H21" s="178"/>
      <c r="I21" s="178"/>
    </row>
    <row r="22" spans="1:10">
      <c r="C22" s="331"/>
      <c r="D22" s="331"/>
      <c r="E22" s="331"/>
      <c r="F22" s="331"/>
      <c r="G22" s="331"/>
      <c r="H22" s="331"/>
      <c r="I22" s="331"/>
    </row>
    <row r="23" spans="1:10">
      <c r="C23" s="178"/>
    </row>
    <row r="24" spans="1:10">
      <c r="C24" s="178"/>
    </row>
    <row r="25" spans="1:10">
      <c r="C25" s="178"/>
    </row>
    <row r="26" spans="1:10">
      <c r="C26" s="178"/>
    </row>
    <row r="27" spans="1:10">
      <c r="C27" s="178"/>
    </row>
    <row r="28" spans="1:10">
      <c r="C28" s="178"/>
    </row>
    <row r="29" spans="1:10">
      <c r="C29" s="178"/>
    </row>
    <row r="30" spans="1:10">
      <c r="C30" s="178"/>
    </row>
    <row r="31" spans="1:10">
      <c r="C31" s="178"/>
    </row>
  </sheetData>
  <phoneticPr fontId="4" type="noConversion"/>
  <printOptions headings="1"/>
  <pageMargins left="0.9055118110236221" right="0.35433070866141736" top="0.94488188976377963" bottom="0.98425196850393704" header="0.51181102362204722" footer="0.51181102362204722"/>
  <pageSetup paperSize="9" orientation="landscape" horizontalDpi="300" verticalDpi="300" r:id="rId1"/>
  <headerFooter alignWithMargins="0">
    <oddHeader>&amp;A</oddHeader>
    <oddFooter>&amp;C&amp;F&amp;R&amp;D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2"/>
  <dimension ref="A1:AC76"/>
  <sheetViews>
    <sheetView showGridLines="0" workbookViewId="0">
      <selection activeCell="F39" sqref="F39"/>
    </sheetView>
  </sheetViews>
  <sheetFormatPr baseColWidth="10" defaultColWidth="11.5703125" defaultRowHeight="11.25"/>
  <cols>
    <col min="1" max="1" width="2.42578125" style="2" customWidth="1"/>
    <col min="2" max="2" width="29" style="2" bestFit="1" customWidth="1"/>
    <col min="3" max="11" width="9" style="2" customWidth="1"/>
    <col min="12" max="12" width="7.42578125" style="2" customWidth="1"/>
    <col min="13" max="13" width="11.5703125" style="175"/>
    <col min="14" max="16384" width="11.5703125" style="2"/>
  </cols>
  <sheetData>
    <row r="1" spans="2:29" ht="12" thickBot="1">
      <c r="B1" s="253"/>
      <c r="F1" s="239" t="s">
        <v>144</v>
      </c>
      <c r="H1" s="32"/>
      <c r="K1" s="160"/>
    </row>
    <row r="2" spans="2:29">
      <c r="B2" s="92"/>
      <c r="C2" s="59"/>
      <c r="D2" s="78" t="str">
        <f>ESCENARIOS!C5</f>
        <v>Escenario  Base</v>
      </c>
      <c r="E2" s="94"/>
      <c r="F2" s="59"/>
      <c r="G2" s="59"/>
      <c r="H2" s="59"/>
      <c r="I2" s="59"/>
      <c r="J2" s="60"/>
      <c r="K2" s="160"/>
      <c r="M2" s="205"/>
      <c r="N2" s="205"/>
      <c r="O2" s="205"/>
      <c r="P2" s="205"/>
      <c r="Q2" s="205"/>
      <c r="R2" s="205"/>
      <c r="S2" s="205"/>
      <c r="T2" s="205"/>
      <c r="U2" s="205"/>
      <c r="V2" s="205"/>
      <c r="W2" s="205"/>
      <c r="X2" s="205"/>
      <c r="Y2" s="205"/>
      <c r="Z2" s="205"/>
      <c r="AA2" s="205"/>
      <c r="AB2" s="205"/>
      <c r="AC2" s="205"/>
    </row>
    <row r="3" spans="2:29" s="15" customFormat="1" ht="12" thickBot="1">
      <c r="B3" s="210" t="s">
        <v>5</v>
      </c>
      <c r="C3" s="221">
        <v>0</v>
      </c>
      <c r="D3" s="221">
        <f>C3+1</f>
        <v>1</v>
      </c>
      <c r="E3" s="221">
        <f t="shared" ref="E3:J3" si="0">D3+1</f>
        <v>2</v>
      </c>
      <c r="F3" s="221">
        <f t="shared" si="0"/>
        <v>3</v>
      </c>
      <c r="G3" s="221">
        <f t="shared" si="0"/>
        <v>4</v>
      </c>
      <c r="H3" s="221">
        <f t="shared" si="0"/>
        <v>5</v>
      </c>
      <c r="I3" s="221">
        <f t="shared" si="0"/>
        <v>6</v>
      </c>
      <c r="J3" s="294">
        <f t="shared" si="0"/>
        <v>7</v>
      </c>
      <c r="K3" s="16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</row>
    <row r="4" spans="2:29" s="16" customFormat="1" ht="12" thickTop="1">
      <c r="B4" s="69" t="s">
        <v>145</v>
      </c>
      <c r="C4" s="47">
        <f>INV!C53</f>
        <v>125920</v>
      </c>
      <c r="D4" s="38">
        <f>C4+INV!D53</f>
        <v>515419.99999999994</v>
      </c>
      <c r="E4" s="38">
        <f>D4+INV!E53</f>
        <v>1124782.4999999998</v>
      </c>
      <c r="F4" s="38">
        <f>E4+INV!F53</f>
        <v>1124782.4999999998</v>
      </c>
      <c r="G4" s="38">
        <f>F4+INV!G53</f>
        <v>1124782.4999999998</v>
      </c>
      <c r="H4" s="38">
        <f>G4+INV!H53</f>
        <v>1124782.4999999998</v>
      </c>
      <c r="I4" s="38">
        <f>H4+INV!I53</f>
        <v>1124782.4999999998</v>
      </c>
      <c r="J4" s="85">
        <f>I4+INV!J53</f>
        <v>1124782.4999999998</v>
      </c>
      <c r="K4" s="160"/>
      <c r="M4" s="193"/>
    </row>
    <row r="5" spans="2:29" s="16" customFormat="1">
      <c r="B5" s="69" t="s">
        <v>147</v>
      </c>
      <c r="C5" s="47"/>
      <c r="D5" s="38">
        <f>C5+INV!J45</f>
        <v>13384.4</v>
      </c>
      <c r="E5" s="38">
        <f>D5+INV!K45</f>
        <v>96878.799999999974</v>
      </c>
      <c r="F5" s="38">
        <f>E5+INV!L45</f>
        <v>271147.19999999995</v>
      </c>
      <c r="G5" s="38">
        <f>F5+INV!M45</f>
        <v>445415.59999999992</v>
      </c>
      <c r="H5" s="38">
        <f>G5+INV!N45</f>
        <v>614683.99999999988</v>
      </c>
      <c r="I5" s="38">
        <f>H5+INV!O45</f>
        <v>777912.39999999991</v>
      </c>
      <c r="J5" s="85">
        <f>I5+INV!P45</f>
        <v>909925.79999999993</v>
      </c>
      <c r="K5" s="160"/>
      <c r="M5" s="193"/>
    </row>
    <row r="6" spans="2:29" s="16" customFormat="1">
      <c r="B6" s="69" t="s">
        <v>146</v>
      </c>
      <c r="C6" s="47">
        <f>INV!C54</f>
        <v>280000</v>
      </c>
      <c r="D6" s="38">
        <f>C6+INV!D54</f>
        <v>285220</v>
      </c>
      <c r="E6" s="38">
        <f>D6+INV!E54</f>
        <v>290983.0625</v>
      </c>
      <c r="F6" s="38">
        <f>E6+INV!F54</f>
        <v>296890.20156249998</v>
      </c>
      <c r="G6" s="38">
        <f>F6+INV!G54</f>
        <v>302834.6378125</v>
      </c>
      <c r="H6" s="38">
        <f>G6+INV!H54</f>
        <v>308927.68496874999</v>
      </c>
      <c r="I6" s="38">
        <f>H6+INV!I54</f>
        <v>315173.05830390623</v>
      </c>
      <c r="J6" s="85">
        <f>I6+INV!J54</f>
        <v>321574.5659724414</v>
      </c>
      <c r="K6" s="160"/>
      <c r="M6" s="193"/>
    </row>
    <row r="7" spans="2:29" s="16" customFormat="1">
      <c r="B7" s="69" t="s">
        <v>141</v>
      </c>
      <c r="C7" s="47"/>
      <c r="D7" s="38">
        <f>C7+INV!J46</f>
        <v>24000</v>
      </c>
      <c r="E7" s="38">
        <f>D7+INV!K46</f>
        <v>49044</v>
      </c>
      <c r="F7" s="38">
        <f>E7+INV!L46</f>
        <v>75234.308749999997</v>
      </c>
      <c r="G7" s="38">
        <f>F7+INV!M46</f>
        <v>102599.58396875</v>
      </c>
      <c r="H7" s="38">
        <f>G7+INV!N46</f>
        <v>131153.7464375</v>
      </c>
      <c r="I7" s="38">
        <f>H7+INV!O46</f>
        <v>160926.51833749999</v>
      </c>
      <c r="J7" s="85">
        <f>I7+INV!P46</f>
        <v>176504.36490453125</v>
      </c>
      <c r="K7" s="160"/>
      <c r="M7" s="193"/>
    </row>
    <row r="8" spans="2:29" s="15" customFormat="1">
      <c r="B8" s="95" t="s">
        <v>193</v>
      </c>
      <c r="C8" s="48">
        <f>C4-C5+C6-C7</f>
        <v>405920</v>
      </c>
      <c r="D8" s="48">
        <f t="shared" ref="D8:J8" si="1">D4-D5+D6-D7</f>
        <v>763255.59999999986</v>
      </c>
      <c r="E8" s="48">
        <f t="shared" si="1"/>
        <v>1269842.7624999997</v>
      </c>
      <c r="F8" s="48">
        <f t="shared" si="1"/>
        <v>1075291.1928124998</v>
      </c>
      <c r="G8" s="48">
        <f t="shared" si="1"/>
        <v>879601.95384374994</v>
      </c>
      <c r="H8" s="48">
        <f t="shared" si="1"/>
        <v>687872.43853124988</v>
      </c>
      <c r="I8" s="48">
        <f t="shared" si="1"/>
        <v>501116.6399664061</v>
      </c>
      <c r="J8" s="295">
        <f t="shared" si="1"/>
        <v>359926.90106791002</v>
      </c>
      <c r="K8" s="160"/>
      <c r="L8" s="16"/>
      <c r="M8" s="141"/>
    </row>
    <row r="9" spans="2:29" s="16" customFormat="1">
      <c r="B9" s="69" t="s">
        <v>71</v>
      </c>
      <c r="C9" s="47">
        <f>INCO!C102</f>
        <v>4968.333333333333</v>
      </c>
      <c r="D9" s="47">
        <f>INCO!D102</f>
        <v>6768.9633333333331</v>
      </c>
      <c r="E9" s="47">
        <f>INCO!E102</f>
        <v>9493.7499048958343</v>
      </c>
      <c r="F9" s="47">
        <f>INCO!F102</f>
        <v>13375.852110112346</v>
      </c>
      <c r="G9" s="47">
        <f>INCO!G102</f>
        <v>14288.795630087843</v>
      </c>
      <c r="H9" s="47">
        <f>INCO!H102</f>
        <v>15270.665709860885</v>
      </c>
      <c r="I9" s="47">
        <f>INCO!I102</f>
        <v>16222.813682826714</v>
      </c>
      <c r="J9" s="114">
        <f>INCO!J102</f>
        <v>17181.756021828187</v>
      </c>
      <c r="K9" s="160"/>
      <c r="M9" s="193"/>
    </row>
    <row r="10" spans="2:29" s="16" customFormat="1">
      <c r="B10" s="69" t="s">
        <v>76</v>
      </c>
      <c r="C10" s="47"/>
      <c r="D10" s="38">
        <f>INCO!D105</f>
        <v>12692.972187500001</v>
      </c>
      <c r="E10" s="38">
        <f>INCO!E105</f>
        <v>16914.462461796877</v>
      </c>
      <c r="F10" s="38">
        <f>INCO!F105</f>
        <v>23288.926534438975</v>
      </c>
      <c r="G10" s="38">
        <f>INCO!G105</f>
        <v>24953.038984368981</v>
      </c>
      <c r="H10" s="38">
        <f>INCO!H105</f>
        <v>26748.557761165994</v>
      </c>
      <c r="I10" s="38">
        <f>INCO!I105</f>
        <v>28479.427462586511</v>
      </c>
      <c r="J10" s="85">
        <f>INCO!J105</f>
        <v>30189.826615039445</v>
      </c>
      <c r="K10" s="160"/>
      <c r="M10" s="193"/>
    </row>
    <row r="11" spans="2:29" s="16" customFormat="1">
      <c r="B11" s="69" t="s">
        <v>194</v>
      </c>
      <c r="C11" s="47"/>
      <c r="D11" s="38">
        <f>INPUTS!$C$85/12*INCO!D46</f>
        <v>42166.666666666664</v>
      </c>
      <c r="E11" s="38">
        <f>INPUTS!$C$85/12*INCO!E46</f>
        <v>53521.65625</v>
      </c>
      <c r="F11" s="38">
        <f>INPUTS!$C$85/12*INCO!F46</f>
        <v>67126.87833072916</v>
      </c>
      <c r="G11" s="38">
        <f>INPUTS!$C$85/12*INCO!G46</f>
        <v>88028.031558878909</v>
      </c>
      <c r="H11" s="38">
        <f>INPUTS!$C$85/12*INCO!H46</f>
        <v>94552.797232882076</v>
      </c>
      <c r="I11" s="38">
        <f>INPUTS!$C$85/12*INCO!I46</f>
        <v>101602.39806946035</v>
      </c>
      <c r="J11" s="85">
        <f>INPUTS!$C$85/12*INCO!J46</f>
        <v>108340.13355870993</v>
      </c>
      <c r="K11" s="160"/>
      <c r="M11" s="193"/>
    </row>
    <row r="12" spans="2:29" s="16" customFormat="1">
      <c r="B12" s="69" t="s">
        <v>69</v>
      </c>
      <c r="C12" s="47">
        <f>INV!C57</f>
        <v>52697.2</v>
      </c>
      <c r="D12" s="47">
        <f>INV!D57</f>
        <v>62319.999999999993</v>
      </c>
      <c r="E12" s="47">
        <f>INV!E57</f>
        <v>86168.059999999983</v>
      </c>
      <c r="F12" s="47">
        <f>INV!F57</f>
        <v>17.230249999999998</v>
      </c>
      <c r="G12" s="47">
        <f>INV!G57</f>
        <v>0</v>
      </c>
      <c r="H12" s="47">
        <f>INV!H57</f>
        <v>0</v>
      </c>
      <c r="I12" s="47">
        <f>INV!I57</f>
        <v>0</v>
      </c>
      <c r="J12" s="114">
        <f>INV!J57</f>
        <v>0</v>
      </c>
      <c r="K12" s="160"/>
      <c r="M12" s="193"/>
    </row>
    <row r="13" spans="2:29" s="16" customFormat="1">
      <c r="B13" s="69" t="s">
        <v>58</v>
      </c>
      <c r="C13" s="47">
        <f>INPUTS!$C$88/12*INCO!D100</f>
        <v>34660</v>
      </c>
      <c r="D13" s="47">
        <f>INPUTS!$C$88/12*INCO!E100</f>
        <v>38935.513333333336</v>
      </c>
      <c r="E13" s="47">
        <f>INPUTS!$C$88/12*INCO!F100</f>
        <v>44876.443878333332</v>
      </c>
      <c r="F13" s="47">
        <f>INPUTS!$C$88/12*INCO!G100</f>
        <v>55660.569849101666</v>
      </c>
      <c r="G13" s="47">
        <f>INPUTS!$C$88/12*INCO!H100</f>
        <v>62153.087803606759</v>
      </c>
      <c r="H13" s="47">
        <f>INPUTS!$C$88/12*INCO!I100</f>
        <v>65244.939787680058</v>
      </c>
      <c r="I13" s="47">
        <f>INPUTS!$C$88/12*INCO!J100</f>
        <v>68268.41199619227</v>
      </c>
      <c r="J13" s="114">
        <f>INPUTS!$C$88/12*INCO!K100</f>
        <v>71280.702156072439</v>
      </c>
      <c r="K13" s="160"/>
      <c r="M13" s="193"/>
    </row>
    <row r="14" spans="2:29" s="16" customFormat="1">
      <c r="B14" s="69" t="s">
        <v>208</v>
      </c>
      <c r="C14" s="38">
        <f>C29-C8-C9-C10-C11-C12-C13</f>
        <v>0</v>
      </c>
      <c r="D14" s="38">
        <f t="shared" ref="D14:J14" si="2">D29-D8-D9-D10-D11-D12-D13</f>
        <v>0</v>
      </c>
      <c r="E14" s="38">
        <f t="shared" si="2"/>
        <v>-1.7462298274040222E-10</v>
      </c>
      <c r="F14" s="38">
        <f t="shared" si="2"/>
        <v>0</v>
      </c>
      <c r="G14" s="38">
        <f t="shared" si="2"/>
        <v>7.2759576141834259E-11</v>
      </c>
      <c r="H14" s="38">
        <f t="shared" si="2"/>
        <v>236736.94142507686</v>
      </c>
      <c r="I14" s="38">
        <f t="shared" si="2"/>
        <v>604280.34296996775</v>
      </c>
      <c r="J14" s="85">
        <f t="shared" si="2"/>
        <v>1006935.1814251652</v>
      </c>
      <c r="K14" s="160"/>
      <c r="M14" s="193"/>
    </row>
    <row r="15" spans="2:29" s="15" customFormat="1">
      <c r="B15" s="95" t="s">
        <v>195</v>
      </c>
      <c r="C15" s="48">
        <f>SUM(C9:C14)</f>
        <v>92325.533333333326</v>
      </c>
      <c r="D15" s="48">
        <f t="shared" ref="D15:J15" si="3">SUM(D9:D14)</f>
        <v>162884.11552083332</v>
      </c>
      <c r="E15" s="48">
        <f t="shared" si="3"/>
        <v>210974.37249502586</v>
      </c>
      <c r="F15" s="48">
        <f t="shared" si="3"/>
        <v>159469.45707438214</v>
      </c>
      <c r="G15" s="48">
        <f t="shared" si="3"/>
        <v>189422.95397694258</v>
      </c>
      <c r="H15" s="48">
        <f t="shared" si="3"/>
        <v>438553.90191666584</v>
      </c>
      <c r="I15" s="48">
        <f t="shared" si="3"/>
        <v>818853.3941810336</v>
      </c>
      <c r="J15" s="295">
        <f t="shared" si="3"/>
        <v>1233927.5997768152</v>
      </c>
      <c r="K15" s="160"/>
      <c r="L15" s="16"/>
      <c r="M15" s="141"/>
    </row>
    <row r="16" spans="2:29" s="15" customFormat="1" ht="12" thickBot="1">
      <c r="B16" s="97" t="s">
        <v>29</v>
      </c>
      <c r="C16" s="98">
        <f>C8+C15</f>
        <v>498245.53333333333</v>
      </c>
      <c r="D16" s="98">
        <f t="shared" ref="D16:J16" si="4">D8+D15</f>
        <v>926139.71552083315</v>
      </c>
      <c r="E16" s="98">
        <f t="shared" si="4"/>
        <v>1480817.1349950256</v>
      </c>
      <c r="F16" s="98">
        <f t="shared" si="4"/>
        <v>1234760.6498868819</v>
      </c>
      <c r="G16" s="98">
        <f t="shared" si="4"/>
        <v>1069024.9078206925</v>
      </c>
      <c r="H16" s="98">
        <f t="shared" si="4"/>
        <v>1126426.3404479157</v>
      </c>
      <c r="I16" s="98">
        <f t="shared" si="4"/>
        <v>1319970.0341474398</v>
      </c>
      <c r="J16" s="296">
        <f t="shared" si="4"/>
        <v>1593854.5008447252</v>
      </c>
      <c r="K16" s="160"/>
      <c r="L16" s="16"/>
      <c r="M16" s="141"/>
    </row>
    <row r="17" spans="1:13" s="16" customFormat="1" ht="12" thickBot="1">
      <c r="A17" s="160"/>
      <c r="B17" s="160"/>
      <c r="C17" s="160"/>
      <c r="D17" s="160"/>
      <c r="E17" s="160"/>
      <c r="F17" s="160"/>
      <c r="G17" s="160"/>
      <c r="H17" s="160"/>
      <c r="I17" s="160"/>
      <c r="J17" s="160"/>
      <c r="K17" s="160"/>
      <c r="M17" s="193"/>
    </row>
    <row r="18" spans="1:13" s="16" customFormat="1">
      <c r="B18" s="297" t="s">
        <v>17</v>
      </c>
      <c r="C18" s="298">
        <f>MAX(INPUTS!C50,SUM(C8:C13)-C28-C24-C21)</f>
        <v>224154.43333333335</v>
      </c>
      <c r="D18" s="298">
        <f>MAX(C18,SUM(D8:D13)-D28-D24-D21-D19-D20)</f>
        <v>366606.63049479155</v>
      </c>
      <c r="E18" s="298">
        <f t="shared" ref="E18:J18" si="5">MAX(D18,SUM(E8:E13)-E28-E24-E21-E19-E20)</f>
        <v>618394.82368437201</v>
      </c>
      <c r="F18" s="298">
        <f t="shared" si="5"/>
        <v>618394.82368437201</v>
      </c>
      <c r="G18" s="298">
        <f t="shared" si="5"/>
        <v>618394.82368437201</v>
      </c>
      <c r="H18" s="298">
        <f t="shared" si="5"/>
        <v>618394.82368437201</v>
      </c>
      <c r="I18" s="298">
        <f t="shared" si="5"/>
        <v>618394.82368437201</v>
      </c>
      <c r="J18" s="299">
        <f t="shared" si="5"/>
        <v>618394.82368437201</v>
      </c>
      <c r="K18" s="160"/>
      <c r="M18" s="193"/>
    </row>
    <row r="19" spans="1:13" s="16" customFormat="1">
      <c r="B19" s="69" t="s">
        <v>105</v>
      </c>
      <c r="C19" s="47"/>
      <c r="D19" s="38"/>
      <c r="E19" s="38">
        <f>D19+D20-CTA.RES!D18</f>
        <v>44011.73470982143</v>
      </c>
      <c r="F19" s="38">
        <f>E19+E20-CTA.RES!E18</f>
        <v>75108.034139125273</v>
      </c>
      <c r="G19" s="38">
        <f>F19+F20-CTA.RES!F18</f>
        <v>94634.138534551603</v>
      </c>
      <c r="H19" s="38">
        <f>G19+G20-CTA.RES!G18</f>
        <v>239045.48836167611</v>
      </c>
      <c r="I19" s="38">
        <f>H19+H20-CTA.RES!H18</f>
        <v>374978.91213032225</v>
      </c>
      <c r="J19" s="85">
        <f>I19+I20-CTA.RES!I18</f>
        <v>553993.79753104527</v>
      </c>
      <c r="K19" s="160"/>
      <c r="M19" s="193"/>
    </row>
    <row r="20" spans="1:13" s="16" customFormat="1">
      <c r="B20" s="69" t="s">
        <v>206</v>
      </c>
      <c r="C20" s="47"/>
      <c r="D20" s="38">
        <f>CTA.RES!C16</f>
        <v>48901.927455357145</v>
      </c>
      <c r="E20" s="38">
        <f>CTA.RES!D16</f>
        <v>34551.443810337601</v>
      </c>
      <c r="F20" s="38">
        <f>CTA.RES!E16</f>
        <v>21695.671550473715</v>
      </c>
      <c r="G20" s="38">
        <f>CTA.RES!F16</f>
        <v>160457.05536347168</v>
      </c>
      <c r="H20" s="38">
        <f>CTA.RES!G16</f>
        <v>151037.13752071795</v>
      </c>
      <c r="I20" s="38">
        <f>CTA.RES!H16</f>
        <v>198905.42822302558</v>
      </c>
      <c r="J20" s="85">
        <f>CTA.RES!I16</f>
        <v>274778.06903418258</v>
      </c>
      <c r="K20" s="160"/>
      <c r="M20" s="193"/>
    </row>
    <row r="21" spans="1:13" s="16" customFormat="1">
      <c r="B21" s="69" t="s">
        <v>196</v>
      </c>
      <c r="C21" s="38">
        <f>ESCENARIOS!$C$11*INPUTS!C51</f>
        <v>20000</v>
      </c>
      <c r="D21" s="38">
        <f>C21+ESCENARIOS!$C$11*INPUTS!D51-CTA.RES!C10</f>
        <v>17142.857142857145</v>
      </c>
      <c r="E21" s="38">
        <f>D21+ESCENARIOS!$C$11*INPUTS!E51-CTA.RES!D10</f>
        <v>14285.714285714288</v>
      </c>
      <c r="F21" s="38">
        <f>E21+ESCENARIOS!$C$11*INPUTS!F51-CTA.RES!E10</f>
        <v>51428.571428571435</v>
      </c>
      <c r="G21" s="38">
        <f>F21+ESCENARIOS!$C$11*INPUTS!G51-CTA.RES!F10</f>
        <v>42857.142857142862</v>
      </c>
      <c r="H21" s="38">
        <f>G21+ESCENARIOS!$C$11*INPUTS!H51-CTA.RES!G10</f>
        <v>34285.71428571429</v>
      </c>
      <c r="I21" s="38">
        <f>H21+ESCENARIOS!$C$11*INPUTS!I51-CTA.RES!H10</f>
        <v>25714.285714285717</v>
      </c>
      <c r="J21" s="85">
        <f>I21+ESCENARIOS!$C$11*INPUTS!J51-CTA.RES!I10</f>
        <v>17142.857142857145</v>
      </c>
      <c r="K21" s="160"/>
      <c r="M21" s="193"/>
    </row>
    <row r="22" spans="1:13" s="15" customFormat="1">
      <c r="B22" s="95" t="s">
        <v>197</v>
      </c>
      <c r="C22" s="48">
        <f>SUM(C18:C21)</f>
        <v>244154.43333333335</v>
      </c>
      <c r="D22" s="48">
        <f t="shared" ref="D22:J22" si="6">SUM(D18:D21)</f>
        <v>432651.41509300587</v>
      </c>
      <c r="E22" s="48">
        <f t="shared" si="6"/>
        <v>711243.71649024531</v>
      </c>
      <c r="F22" s="48">
        <f t="shared" si="6"/>
        <v>766627.10080254241</v>
      </c>
      <c r="G22" s="48">
        <f t="shared" si="6"/>
        <v>916343.16043953819</v>
      </c>
      <c r="H22" s="48">
        <f t="shared" si="6"/>
        <v>1042763.1638524804</v>
      </c>
      <c r="I22" s="48">
        <f t="shared" si="6"/>
        <v>1217993.4497520055</v>
      </c>
      <c r="J22" s="295">
        <f t="shared" si="6"/>
        <v>1464309.547392457</v>
      </c>
      <c r="K22" s="160"/>
      <c r="L22" s="16"/>
      <c r="M22" s="141"/>
    </row>
    <row r="23" spans="1:13" s="16" customFormat="1">
      <c r="B23" s="69" t="s">
        <v>209</v>
      </c>
      <c r="C23" s="38">
        <f>MAX(0,MIN(INPUTS!$C$44*SUM(BALANCE!C8:C13),SUM(BALANCE!C8:C13)-INPUTS!C50-C21-C28))</f>
        <v>249122.76666666666</v>
      </c>
      <c r="D23" s="38">
        <f>MAX(0,MIN(INPUTS!$C$44*SUM(BALANCE!D8:D13),SUM(BALANCE!D8:D13)-C18-D19-D20-D21-D28))</f>
        <v>463069.85776041658</v>
      </c>
      <c r="E23" s="38">
        <f>MAX(0,MIN(INPUTS!$C$44*SUM(BALANCE!E8:E13),SUM(BALANCE!E8:E13)-D18-E19-E20-E21-E28))</f>
        <v>740408.56749751291</v>
      </c>
      <c r="F23" s="38">
        <f>MAX(0,MIN(INPUTS!$C$44*SUM(BALANCE!F8:F13),SUM(BALANCE!F8:F13)-E18-F19-F20-F21-F28))</f>
        <v>437583.83416602673</v>
      </c>
      <c r="G23" s="38">
        <f>MAX(0,MIN(INPUTS!$C$44*SUM(BALANCE!G8:G13),SUM(BALANCE!G8:G13)-F18-G19-G20-G21-G28))</f>
        <v>68089.222121736675</v>
      </c>
      <c r="H23" s="38">
        <f>MAX(0,MIN(INPUTS!$C$44*SUM(BALANCE!H8:H13),SUM(BALANCE!H8:H13)-G18-H19-H20-H21-H28))</f>
        <v>0</v>
      </c>
      <c r="I23" s="38">
        <f>MAX(0,MIN(INPUTS!$C$44*SUM(BALANCE!I8:I13),SUM(BALANCE!I8:I13)-H18-I19-I20-I21-I28))</f>
        <v>0</v>
      </c>
      <c r="J23" s="85">
        <f>MAX(0,MIN(INPUTS!$C$44*SUM(BALANCE!J8:J13),SUM(BALANCE!J8:J13)-I18-J19-J20-J21-J28))</f>
        <v>0</v>
      </c>
      <c r="K23" s="160"/>
      <c r="M23" s="193"/>
    </row>
    <row r="24" spans="1:13">
      <c r="B24" s="95" t="s">
        <v>198</v>
      </c>
      <c r="C24" s="48">
        <f>C23</f>
        <v>249122.76666666666</v>
      </c>
      <c r="D24" s="48">
        <f t="shared" ref="D24:J24" si="7">D23</f>
        <v>463069.85776041658</v>
      </c>
      <c r="E24" s="48">
        <f t="shared" si="7"/>
        <v>740408.56749751291</v>
      </c>
      <c r="F24" s="48">
        <f t="shared" si="7"/>
        <v>437583.83416602673</v>
      </c>
      <c r="G24" s="48">
        <f t="shared" si="7"/>
        <v>68089.222121736675</v>
      </c>
      <c r="H24" s="48">
        <f t="shared" si="7"/>
        <v>0</v>
      </c>
      <c r="I24" s="48">
        <f t="shared" si="7"/>
        <v>0</v>
      </c>
      <c r="J24" s="295">
        <f t="shared" si="7"/>
        <v>0</v>
      </c>
      <c r="K24" s="160"/>
      <c r="L24" s="16"/>
    </row>
    <row r="25" spans="1:13" s="16" customFormat="1">
      <c r="B25" s="69" t="s">
        <v>72</v>
      </c>
      <c r="C25" s="38">
        <f>IF(INPUTS!C83&gt;0,INCO!C107,0)</f>
        <v>4968.333333333333</v>
      </c>
      <c r="D25" s="38">
        <f>INPUTS!$C$83/12*INCO!D107</f>
        <v>5682.4661111111109</v>
      </c>
      <c r="E25" s="38">
        <f>INPUTS!$C$83/12*INCO!E107</f>
        <v>7223.0944285937512</v>
      </c>
      <c r="F25" s="38">
        <f>INPUTS!$C$83/12*INCO!F107</f>
        <v>10140.766939098585</v>
      </c>
      <c r="G25" s="38">
        <f>INPUTS!$C$83/12*INCO!G107</f>
        <v>13528.009363441593</v>
      </c>
      <c r="H25" s="38">
        <f>INPUTS!$C$83/12*INCO!H107</f>
        <v>14452.44064338335</v>
      </c>
      <c r="I25" s="38">
        <f>INPUTS!$C$83/12*INCO!I107</f>
        <v>15429.35703868852</v>
      </c>
      <c r="J25" s="85">
        <f>INPUTS!$C$83/12*INCO!J107</f>
        <v>16382.637405993628</v>
      </c>
      <c r="K25" s="160"/>
      <c r="M25" s="193"/>
    </row>
    <row r="26" spans="1:13" s="16" customFormat="1">
      <c r="B26" s="69" t="s">
        <v>73</v>
      </c>
      <c r="C26" s="38"/>
      <c r="D26" s="38">
        <f>INPUTS!$C$84/12*INCO!D109</f>
        <v>8435.334071180554</v>
      </c>
      <c r="E26" s="38">
        <f>INPUTS!$C$84/12*INCO!E109</f>
        <v>10424.608641894531</v>
      </c>
      <c r="F26" s="38">
        <f>INPUTS!$C$84/12*INCO!F109</f>
        <v>13177.057462389634</v>
      </c>
      <c r="G26" s="38">
        <f>INPUTS!$C$84/12*INCO!G109</f>
        <v>17578.830774818867</v>
      </c>
      <c r="H26" s="38">
        <f>INPUTS!$C$84/12*INCO!H109</f>
        <v>18865.023445145926</v>
      </c>
      <c r="I26" s="38">
        <f>INPUTS!$C$84/12*INCO!I109</f>
        <v>20245.417949070612</v>
      </c>
      <c r="J26" s="85">
        <f>INPUTS!$C$84/12*INCO!J109</f>
        <v>21569.626368213736</v>
      </c>
      <c r="K26" s="160"/>
      <c r="L26" s="2"/>
      <c r="M26" s="193"/>
    </row>
    <row r="27" spans="1:13" s="16" customFormat="1">
      <c r="B27" s="69" t="s">
        <v>201</v>
      </c>
      <c r="C27" s="38"/>
      <c r="D27" s="38">
        <f>CTA.RES!C15</f>
        <v>16300.64248511905</v>
      </c>
      <c r="E27" s="38">
        <f>CTA.RES!D15</f>
        <v>11517.147936779202</v>
      </c>
      <c r="F27" s="38">
        <f>CTA.RES!E15</f>
        <v>7231.890516824571</v>
      </c>
      <c r="G27" s="38">
        <f>CTA.RES!F15</f>
        <v>53485.685121157221</v>
      </c>
      <c r="H27" s="38">
        <f>CTA.RES!G15</f>
        <v>50345.712506905984</v>
      </c>
      <c r="I27" s="38">
        <f>CTA.RES!H15</f>
        <v>66301.809407675188</v>
      </c>
      <c r="J27" s="85">
        <f>CTA.RES!I15</f>
        <v>91592.689678060851</v>
      </c>
      <c r="K27" s="160"/>
      <c r="L27" s="22"/>
      <c r="M27" s="193"/>
    </row>
    <row r="28" spans="1:13" s="15" customFormat="1">
      <c r="B28" s="95" t="s">
        <v>199</v>
      </c>
      <c r="C28" s="48">
        <f>SUM(C25:C27)</f>
        <v>4968.333333333333</v>
      </c>
      <c r="D28" s="48">
        <f t="shared" ref="D28:J28" si="8">SUM(D25:D27)</f>
        <v>30418.442667410716</v>
      </c>
      <c r="E28" s="48">
        <f t="shared" si="8"/>
        <v>29164.851007267484</v>
      </c>
      <c r="F28" s="48">
        <f t="shared" si="8"/>
        <v>30549.714918312791</v>
      </c>
      <c r="G28" s="48">
        <f t="shared" si="8"/>
        <v>84592.525259417685</v>
      </c>
      <c r="H28" s="48">
        <f t="shared" si="8"/>
        <v>83663.17659543526</v>
      </c>
      <c r="I28" s="48">
        <f t="shared" si="8"/>
        <v>101976.58439543433</v>
      </c>
      <c r="J28" s="295">
        <f t="shared" si="8"/>
        <v>129544.95345226821</v>
      </c>
      <c r="K28" s="160"/>
      <c r="L28" s="2"/>
      <c r="M28" s="141"/>
    </row>
    <row r="29" spans="1:13" s="15" customFormat="1" ht="12" thickBot="1">
      <c r="B29" s="97" t="s">
        <v>200</v>
      </c>
      <c r="C29" s="98">
        <f>C22+C24+C28</f>
        <v>498245.53333333333</v>
      </c>
      <c r="D29" s="98">
        <f t="shared" ref="D29:J29" si="9">D22+D24+D28</f>
        <v>926139.71552083315</v>
      </c>
      <c r="E29" s="98">
        <f t="shared" si="9"/>
        <v>1480817.1349950256</v>
      </c>
      <c r="F29" s="98">
        <f t="shared" si="9"/>
        <v>1234760.6498868819</v>
      </c>
      <c r="G29" s="98">
        <f t="shared" si="9"/>
        <v>1069024.9078206925</v>
      </c>
      <c r="H29" s="98">
        <f t="shared" si="9"/>
        <v>1126426.3404479157</v>
      </c>
      <c r="I29" s="98">
        <f t="shared" si="9"/>
        <v>1319970.0341474398</v>
      </c>
      <c r="J29" s="296">
        <f t="shared" si="9"/>
        <v>1593854.5008447252</v>
      </c>
      <c r="K29" s="160"/>
      <c r="L29" s="2"/>
      <c r="M29" s="141"/>
    </row>
    <row r="30" spans="1:13">
      <c r="K30" s="160"/>
    </row>
    <row r="31" spans="1:13">
      <c r="B31" s="1" t="s">
        <v>114</v>
      </c>
      <c r="C31" s="160">
        <f>C23/SUM(C8:C13)</f>
        <v>0.5</v>
      </c>
      <c r="D31" s="160">
        <f t="shared" ref="D31:J31" si="10">D23/SUM(D8:D13)</f>
        <v>0.5</v>
      </c>
      <c r="E31" s="160">
        <f t="shared" si="10"/>
        <v>0.5</v>
      </c>
      <c r="F31" s="160">
        <f t="shared" si="10"/>
        <v>0.35438757641500346</v>
      </c>
      <c r="G31" s="160">
        <f t="shared" si="10"/>
        <v>6.369283037618173E-2</v>
      </c>
      <c r="H31" s="160">
        <f t="shared" si="10"/>
        <v>0</v>
      </c>
      <c r="I31" s="160">
        <f t="shared" si="10"/>
        <v>0</v>
      </c>
      <c r="J31" s="160">
        <f t="shared" si="10"/>
        <v>0</v>
      </c>
      <c r="K31" s="160"/>
    </row>
    <row r="32" spans="1:13">
      <c r="B32" s="1" t="s">
        <v>119</v>
      </c>
      <c r="C32" s="192" t="str">
        <f>IF(ABS(C16-C29)&lt;1,"OK","Error")</f>
        <v>OK</v>
      </c>
      <c r="D32" s="192" t="str">
        <f t="shared" ref="D32:J32" si="11">IF(ABS(D16-D29)&lt;1,"OK","Error")</f>
        <v>OK</v>
      </c>
      <c r="E32" s="192" t="str">
        <f t="shared" si="11"/>
        <v>OK</v>
      </c>
      <c r="F32" s="192" t="str">
        <f t="shared" si="11"/>
        <v>OK</v>
      </c>
      <c r="G32" s="192" t="str">
        <f t="shared" si="11"/>
        <v>OK</v>
      </c>
      <c r="H32" s="192" t="str">
        <f t="shared" si="11"/>
        <v>OK</v>
      </c>
      <c r="I32" s="192" t="str">
        <f t="shared" si="11"/>
        <v>OK</v>
      </c>
      <c r="J32" s="192" t="str">
        <f t="shared" si="11"/>
        <v>OK</v>
      </c>
      <c r="K32" s="38"/>
    </row>
    <row r="33" spans="2:12">
      <c r="B33" s="1" t="s">
        <v>157</v>
      </c>
      <c r="C33" s="38">
        <f>C9+C10+C11+C12+C13-C28</f>
        <v>87357.2</v>
      </c>
      <c r="D33" s="38">
        <f t="shared" ref="D33:J33" si="12">D9+D10+D11+D12+D13-D28</f>
        <v>132465.67285342261</v>
      </c>
      <c r="E33" s="38">
        <f t="shared" si="12"/>
        <v>181809.52148775855</v>
      </c>
      <c r="F33" s="38">
        <f t="shared" si="12"/>
        <v>128919.74215606935</v>
      </c>
      <c r="G33" s="38">
        <f t="shared" si="12"/>
        <v>104830.4287175248</v>
      </c>
      <c r="H33" s="38">
        <f t="shared" si="12"/>
        <v>118153.78389615375</v>
      </c>
      <c r="I33" s="38">
        <f t="shared" si="12"/>
        <v>112596.46681563152</v>
      </c>
      <c r="J33" s="38">
        <f t="shared" si="12"/>
        <v>97447.464899381797</v>
      </c>
      <c r="K33" s="38"/>
      <c r="L33" s="38"/>
    </row>
    <row r="34" spans="2:12">
      <c r="E34" s="5"/>
    </row>
    <row r="35" spans="2:12">
      <c r="B35" s="32"/>
    </row>
    <row r="36" spans="2:12">
      <c r="B36" s="33" t="s">
        <v>236</v>
      </c>
      <c r="C36" s="5">
        <f t="shared" ref="C36:J36" si="13">C3</f>
        <v>0</v>
      </c>
      <c r="D36" s="5">
        <f t="shared" si="13"/>
        <v>1</v>
      </c>
      <c r="E36" s="5">
        <f t="shared" si="13"/>
        <v>2</v>
      </c>
      <c r="F36" s="5">
        <f t="shared" si="13"/>
        <v>3</v>
      </c>
      <c r="G36" s="5">
        <f t="shared" si="13"/>
        <v>4</v>
      </c>
      <c r="H36" s="5">
        <f t="shared" si="13"/>
        <v>5</v>
      </c>
      <c r="I36" s="5">
        <f t="shared" si="13"/>
        <v>6</v>
      </c>
      <c r="J36" s="5">
        <f t="shared" si="13"/>
        <v>7</v>
      </c>
    </row>
    <row r="37" spans="2:12">
      <c r="B37" s="157" t="s">
        <v>241</v>
      </c>
      <c r="C37" s="32">
        <f>TES!C17</f>
        <v>20000</v>
      </c>
      <c r="D37" s="32">
        <f>TES!D17</f>
        <v>0</v>
      </c>
      <c r="E37" s="32">
        <f>TES!E17</f>
        <v>0</v>
      </c>
      <c r="F37" s="32">
        <f>TES!F17</f>
        <v>40000</v>
      </c>
      <c r="G37" s="32">
        <f>TES!G17</f>
        <v>0</v>
      </c>
      <c r="H37" s="32">
        <f>TES!H17</f>
        <v>0</v>
      </c>
      <c r="I37" s="32">
        <f>TES!I17</f>
        <v>0</v>
      </c>
      <c r="J37" s="32">
        <f>TES!J17</f>
        <v>0</v>
      </c>
    </row>
    <row r="38" spans="2:12">
      <c r="B38" s="157" t="s">
        <v>237</v>
      </c>
      <c r="C38" s="32">
        <f>C18</f>
        <v>224154.43333333335</v>
      </c>
      <c r="D38" s="32">
        <f t="shared" ref="D38:J38" si="14">D18-C18</f>
        <v>142452.1971614582</v>
      </c>
      <c r="E38" s="32">
        <f t="shared" si="14"/>
        <v>251788.19318958046</v>
      </c>
      <c r="F38" s="32">
        <f t="shared" si="14"/>
        <v>0</v>
      </c>
      <c r="G38" s="32">
        <f t="shared" si="14"/>
        <v>0</v>
      </c>
      <c r="H38" s="32">
        <f t="shared" si="14"/>
        <v>0</v>
      </c>
      <c r="I38" s="32">
        <f t="shared" si="14"/>
        <v>0</v>
      </c>
      <c r="J38" s="32">
        <f t="shared" si="14"/>
        <v>0</v>
      </c>
    </row>
    <row r="39" spans="2:12">
      <c r="B39" s="157" t="s">
        <v>238</v>
      </c>
      <c r="C39" s="32">
        <f>C23</f>
        <v>249122.76666666666</v>
      </c>
      <c r="D39" s="32">
        <f t="shared" ref="D39:J39" si="15">MAX(0,D23-C23)</f>
        <v>213947.09109374991</v>
      </c>
      <c r="E39" s="32">
        <f t="shared" si="15"/>
        <v>277338.70973709633</v>
      </c>
      <c r="F39" s="32">
        <f t="shared" si="15"/>
        <v>0</v>
      </c>
      <c r="G39" s="32">
        <f t="shared" si="15"/>
        <v>0</v>
      </c>
      <c r="H39" s="32">
        <f t="shared" si="15"/>
        <v>0</v>
      </c>
      <c r="I39" s="32">
        <f t="shared" si="15"/>
        <v>0</v>
      </c>
      <c r="J39" s="32">
        <f t="shared" si="15"/>
        <v>0</v>
      </c>
    </row>
    <row r="47" spans="2:12">
      <c r="C47" s="32"/>
      <c r="D47" s="32"/>
      <c r="E47" s="32"/>
      <c r="F47" s="32"/>
      <c r="G47" s="32"/>
      <c r="H47" s="32"/>
      <c r="I47" s="32"/>
      <c r="J47" s="32"/>
      <c r="K47" s="32"/>
    </row>
    <row r="73" spans="3:4">
      <c r="C73" s="32"/>
      <c r="D73" s="32"/>
    </row>
    <row r="75" spans="3:4">
      <c r="C75" s="32"/>
      <c r="D75" s="32"/>
    </row>
    <row r="76" spans="3:4">
      <c r="C76" s="32"/>
      <c r="D76" s="32"/>
    </row>
  </sheetData>
  <customSheetViews>
    <customSheetView guid="{D4D7EB24-CC17-11D2-866F-0020AFB54048}" showRuler="0" topLeftCell="A7">
      <selection activeCell="A30" sqref="A30"/>
      <pageMargins left="0.75" right="0.75" top="1" bottom="1" header="0" footer="0"/>
      <pageSetup paperSize="9" orientation="portrait" r:id="rId1"/>
      <headerFooter alignWithMargins="0"/>
    </customSheetView>
    <customSheetView guid="{D4D7EB23-CC17-11D2-866F-0020AFB54048}" showRuler="0" topLeftCell="A7">
      <selection activeCell="A30" sqref="A30"/>
      <pageMargins left="0.75" right="0.75" top="1" bottom="1" header="0" footer="0"/>
      <pageSetup paperSize="9" orientation="portrait" r:id="rId2"/>
      <headerFooter alignWithMargins="0"/>
    </customSheetView>
  </customSheetViews>
  <phoneticPr fontId="4" type="noConversion"/>
  <printOptions headings="1"/>
  <pageMargins left="0.9055118110236221" right="0.35433070866141736" top="0.94488188976377963" bottom="0.98425196850393704" header="0.51181102362204722" footer="0.51181102362204722"/>
  <pageSetup paperSize="9" orientation="landscape" horizontalDpi="300" verticalDpi="300" r:id="rId3"/>
  <headerFooter alignWithMargins="0">
    <oddHeader>&amp;A</oddHeader>
    <oddFooter>&amp;C&amp;F&amp;R&amp;D</oddFooter>
  </headerFooter>
  <legacy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Y36"/>
  <sheetViews>
    <sheetView showGridLines="0" zoomScale="110" zoomScaleNormal="110" workbookViewId="0">
      <pane xSplit="2" ySplit="3" topLeftCell="C4" activePane="bottomRight" state="frozen"/>
      <selection pane="topRight"/>
      <selection pane="bottomLeft"/>
      <selection pane="bottomRight" activeCell="H26" sqref="H26"/>
    </sheetView>
  </sheetViews>
  <sheetFormatPr baseColWidth="10" defaultRowHeight="11.25"/>
  <cols>
    <col min="1" max="1" width="4.42578125" style="2" customWidth="1"/>
    <col min="2" max="2" width="28.5703125" style="2" bestFit="1" customWidth="1"/>
    <col min="3" max="10" width="8.42578125" style="2" customWidth="1"/>
    <col min="11" max="11" width="11.85546875" style="2" customWidth="1"/>
    <col min="12" max="16384" width="11.42578125" style="2"/>
  </cols>
  <sheetData>
    <row r="1" spans="1:25" ht="12" thickBot="1"/>
    <row r="2" spans="1:25" ht="12" thickBot="1">
      <c r="D2" s="154" t="str">
        <f>ESCENARIOS!C5</f>
        <v>Escenario  Base</v>
      </c>
      <c r="E2" s="364"/>
      <c r="F2" s="32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6"/>
      <c r="W2" s="16"/>
      <c r="X2" s="16"/>
      <c r="Y2" s="16"/>
    </row>
    <row r="3" spans="1:25">
      <c r="B3" s="328"/>
      <c r="C3" s="329">
        <f>BALANCE!C3</f>
        <v>0</v>
      </c>
      <c r="D3" s="329">
        <f>BALANCE!D3</f>
        <v>1</v>
      </c>
      <c r="E3" s="329">
        <f>BALANCE!E3</f>
        <v>2</v>
      </c>
      <c r="F3" s="329">
        <f>BALANCE!F3</f>
        <v>3</v>
      </c>
      <c r="G3" s="329">
        <f>BALANCE!G3</f>
        <v>4</v>
      </c>
      <c r="H3" s="329">
        <f>BALANCE!H3</f>
        <v>5</v>
      </c>
      <c r="I3" s="329">
        <f>BALANCE!I3</f>
        <v>6</v>
      </c>
      <c r="J3" s="330">
        <f>BALANCE!J3</f>
        <v>7</v>
      </c>
      <c r="L3" s="175"/>
      <c r="M3" s="175"/>
      <c r="N3" s="175"/>
      <c r="O3" s="175"/>
      <c r="P3" s="175"/>
      <c r="Q3" s="175"/>
      <c r="R3" s="175"/>
      <c r="S3" s="175"/>
      <c r="T3" s="175"/>
      <c r="U3" s="175"/>
    </row>
    <row r="4" spans="1:25" s="14" customFormat="1">
      <c r="B4" s="151" t="s">
        <v>117</v>
      </c>
      <c r="C4" s="39">
        <f>C6</f>
        <v>0</v>
      </c>
      <c r="D4" s="39">
        <f>D5+D6</f>
        <v>483833.33333333331</v>
      </c>
      <c r="E4" s="39">
        <f t="shared" ref="E4:J4" si="0">E5+E6</f>
        <v>630904.88541666663</v>
      </c>
      <c r="F4" s="39">
        <f t="shared" si="0"/>
        <v>791917.31788802077</v>
      </c>
      <c r="G4" s="39">
        <f t="shared" si="0"/>
        <v>1075435.2254783972</v>
      </c>
      <c r="H4" s="39">
        <f t="shared" si="0"/>
        <v>1128108.8011205818</v>
      </c>
      <c r="I4" s="39">
        <f t="shared" si="0"/>
        <v>1212179.1759969459</v>
      </c>
      <c r="J4" s="171">
        <f t="shared" si="0"/>
        <v>1293343.8672152697</v>
      </c>
      <c r="K4" s="2"/>
      <c r="L4" s="208"/>
      <c r="M4" s="208"/>
      <c r="N4" s="208"/>
      <c r="O4" s="208"/>
      <c r="P4" s="208"/>
      <c r="Q4" s="208"/>
      <c r="R4" s="208"/>
      <c r="S4" s="208"/>
      <c r="T4" s="208"/>
      <c r="U4" s="208"/>
    </row>
    <row r="5" spans="1:25" s="14" customFormat="1">
      <c r="B5" s="69" t="s">
        <v>242</v>
      </c>
      <c r="C5" s="38"/>
      <c r="D5" s="38">
        <f>CTA.RES!C5</f>
        <v>20000</v>
      </c>
      <c r="E5" s="38">
        <f>CTA.RES!D5</f>
        <v>0</v>
      </c>
      <c r="F5" s="38">
        <f>CTA.RES!E5</f>
        <v>0</v>
      </c>
      <c r="G5" s="38">
        <f>CTA.RES!F5</f>
        <v>40000</v>
      </c>
      <c r="H5" s="38">
        <f>CTA.RES!G5</f>
        <v>0</v>
      </c>
      <c r="I5" s="38">
        <f>CTA.RES!H5</f>
        <v>0</v>
      </c>
      <c r="J5" s="85">
        <f>CTA.RES!I5</f>
        <v>0</v>
      </c>
      <c r="K5" s="2"/>
      <c r="L5" s="208"/>
      <c r="M5" s="208"/>
      <c r="N5" s="208"/>
      <c r="O5" s="208"/>
      <c r="P5" s="208"/>
      <c r="Q5" s="208"/>
      <c r="R5" s="208"/>
      <c r="S5" s="208"/>
      <c r="T5" s="208"/>
      <c r="U5" s="208"/>
    </row>
    <row r="6" spans="1:25" s="14" customFormat="1">
      <c r="B6" s="108" t="s">
        <v>115</v>
      </c>
      <c r="C6" s="45"/>
      <c r="D6" s="45">
        <f>INCO!D46-BALANCE!D11</f>
        <v>463833.33333333331</v>
      </c>
      <c r="E6" s="45">
        <f>INCO!E46-BALANCE!E11+BALANCE!D11</f>
        <v>630904.88541666663</v>
      </c>
      <c r="F6" s="45">
        <f>INCO!F46-BALANCE!F11+BALANCE!E11</f>
        <v>791917.31788802077</v>
      </c>
      <c r="G6" s="45">
        <f>INCO!G46-BALANCE!G11+BALANCE!F11</f>
        <v>1035435.2254783972</v>
      </c>
      <c r="H6" s="45">
        <f>INCO!H46-BALANCE!H11+BALANCE!G11</f>
        <v>1128108.8011205818</v>
      </c>
      <c r="I6" s="45">
        <f>INCO!I46-BALANCE!I11+BALANCE!H11</f>
        <v>1212179.1759969459</v>
      </c>
      <c r="J6" s="236">
        <f>INCO!J46-BALANCE!J11+BALANCE!I11</f>
        <v>1293343.8672152697</v>
      </c>
      <c r="K6" s="2"/>
      <c r="L6" s="208"/>
      <c r="M6" s="208"/>
      <c r="N6" s="208"/>
      <c r="O6" s="208"/>
      <c r="P6" s="208"/>
      <c r="Q6" s="208"/>
      <c r="R6" s="208"/>
      <c r="S6" s="208"/>
      <c r="T6" s="208"/>
      <c r="U6" s="208"/>
    </row>
    <row r="7" spans="1:25" s="14" customFormat="1">
      <c r="B7" s="151" t="s">
        <v>79</v>
      </c>
      <c r="C7" s="39">
        <f>SUM(C8:C12)</f>
        <v>34660</v>
      </c>
      <c r="D7" s="39">
        <f t="shared" ref="D7:J7" si="1">SUM(D8:D12)</f>
        <v>420319.64867187501</v>
      </c>
      <c r="E7" s="39">
        <f t="shared" si="1"/>
        <v>487226.10698778182</v>
      </c>
      <c r="F7" s="39">
        <f t="shared" si="1"/>
        <v>559605.59539440612</v>
      </c>
      <c r="G7" s="39">
        <f t="shared" si="1"/>
        <v>670494.85064368288</v>
      </c>
      <c r="H7" s="39">
        <f t="shared" si="1"/>
        <v>796888.3084985629</v>
      </c>
      <c r="I7" s="39">
        <f t="shared" si="1"/>
        <v>830388.79560757929</v>
      </c>
      <c r="J7" s="171">
        <f t="shared" si="1"/>
        <v>882525.38855833362</v>
      </c>
      <c r="K7" s="2"/>
      <c r="L7" s="208"/>
      <c r="M7" s="208"/>
      <c r="N7" s="208"/>
      <c r="O7" s="208"/>
      <c r="P7" s="208"/>
      <c r="Q7" s="208"/>
      <c r="R7" s="208"/>
      <c r="S7" s="208"/>
      <c r="T7" s="208"/>
      <c r="U7" s="208"/>
    </row>
    <row r="8" spans="1:25" s="14" customFormat="1">
      <c r="B8" s="108" t="s">
        <v>97</v>
      </c>
      <c r="C8" s="38">
        <f>BALANCE!C9-BALANCE!C25</f>
        <v>0</v>
      </c>
      <c r="D8" s="38">
        <f>INCO!D107+BALANCE!C25-BALANCE!D25</f>
        <v>67475.460555555561</v>
      </c>
      <c r="E8" s="38">
        <f>INCO!E107+BALANCE!D25-BALANCE!E25</f>
        <v>85136.504825642362</v>
      </c>
      <c r="F8" s="38">
        <f>INCO!F107+BALANCE!E25-BALANCE!F25</f>
        <v>118771.5307586782</v>
      </c>
      <c r="G8" s="38">
        <f>INCO!G107+BALANCE!F25-BALANCE!G25</f>
        <v>158948.86993695615</v>
      </c>
      <c r="H8" s="38">
        <f>INCO!H107+BALANCE!G25-BALANCE!H25</f>
        <v>172504.85644065845</v>
      </c>
      <c r="I8" s="38">
        <f>INCO!I107+BALANCE!H25-BALANCE!I25</f>
        <v>184175.36806895709</v>
      </c>
      <c r="J8" s="85">
        <f>INCO!J107+BALANCE!I25-BALANCE!J25</f>
        <v>195638.36850461844</v>
      </c>
      <c r="K8" s="2"/>
      <c r="L8" s="208"/>
      <c r="M8" s="208"/>
      <c r="N8" s="208"/>
      <c r="O8" s="208"/>
      <c r="P8" s="208"/>
      <c r="Q8" s="208"/>
      <c r="R8" s="208"/>
      <c r="S8" s="208"/>
      <c r="T8" s="208"/>
      <c r="U8" s="208"/>
    </row>
    <row r="9" spans="1:25" s="14" customFormat="1">
      <c r="B9" s="108" t="s">
        <v>104</v>
      </c>
      <c r="C9" s="38"/>
      <c r="D9" s="38">
        <f>INCO!D109+BALANCE!C26-BALANCE!D26</f>
        <v>92788.674782986112</v>
      </c>
      <c r="E9" s="38">
        <f>INCO!E109+BALANCE!D26-BALANCE!E26</f>
        <v>123106.0291320204</v>
      </c>
      <c r="F9" s="38">
        <f>INCO!F109+BALANCE!E26-BALANCE!F26</f>
        <v>155372.24072818051</v>
      </c>
      <c r="G9" s="38">
        <f>INCO!G109+BALANCE!F26-BALANCE!G26</f>
        <v>206544.19598539718</v>
      </c>
      <c r="H9" s="38">
        <f>INCO!H109+BALANCE!G26-BALANCE!H26</f>
        <v>225094.08867142408</v>
      </c>
      <c r="I9" s="38">
        <f>INCO!I109+BALANCE!H26-BALANCE!I26</f>
        <v>241564.62088492268</v>
      </c>
      <c r="J9" s="85">
        <f>INCO!J109+BALANCE!I26-BALANCE!J26</f>
        <v>257511.30799942173</v>
      </c>
      <c r="K9" s="2"/>
      <c r="L9" s="208"/>
      <c r="M9" s="208"/>
      <c r="N9" s="208"/>
      <c r="O9" s="208"/>
      <c r="P9" s="208"/>
      <c r="Q9" s="208"/>
      <c r="R9" s="208"/>
      <c r="S9" s="208"/>
      <c r="T9" s="208"/>
      <c r="U9" s="208"/>
    </row>
    <row r="10" spans="1:25">
      <c r="B10" s="108" t="s">
        <v>9</v>
      </c>
      <c r="C10" s="35"/>
      <c r="D10" s="35">
        <f>INCO!D58-INCO!D59</f>
        <v>255780</v>
      </c>
      <c r="E10" s="35">
        <f>INCO!E58-INCO!E59</f>
        <v>256742</v>
      </c>
      <c r="F10" s="35">
        <f>INCO!F58-INCO!F59</f>
        <v>263160.55</v>
      </c>
      <c r="G10" s="35">
        <f>INCO!G58-INCO!G59</f>
        <v>291277.37624999997</v>
      </c>
      <c r="H10" s="35">
        <f>INCO!H58-INCO!H59</f>
        <v>342711.82628124987</v>
      </c>
      <c r="I10" s="35">
        <f>INCO!I58-INCO!I59</f>
        <v>351279.62193828117</v>
      </c>
      <c r="J10" s="83">
        <f>INCO!J58-INCO!J59</f>
        <v>360061.61248673813</v>
      </c>
      <c r="L10" s="175"/>
      <c r="M10" s="175"/>
      <c r="N10" s="175"/>
      <c r="O10" s="175"/>
      <c r="P10" s="175"/>
      <c r="Q10" s="175"/>
      <c r="R10" s="175"/>
      <c r="S10" s="175"/>
      <c r="T10" s="175"/>
      <c r="U10" s="175"/>
    </row>
    <row r="11" spans="1:25">
      <c r="B11" s="108" t="s">
        <v>116</v>
      </c>
      <c r="C11" s="35">
        <f>BALANCE!C13</f>
        <v>34660</v>
      </c>
      <c r="D11" s="35">
        <f>BALANCE!D13-BALANCE!C13</f>
        <v>4275.513333333336</v>
      </c>
      <c r="E11" s="35">
        <f>BALANCE!E13-BALANCE!D13</f>
        <v>5940.9305449999956</v>
      </c>
      <c r="F11" s="35">
        <f>BALANCE!F13-BALANCE!E13</f>
        <v>10784.125970768335</v>
      </c>
      <c r="G11" s="35">
        <f>BALANCE!G13-BALANCE!F13</f>
        <v>6492.5179545050923</v>
      </c>
      <c r="H11" s="35">
        <f>BALANCE!H13-BALANCE!G13</f>
        <v>3091.8519840732988</v>
      </c>
      <c r="I11" s="35">
        <f>BALANCE!I13-BALANCE!H13</f>
        <v>3023.4722085122121</v>
      </c>
      <c r="J11" s="83">
        <f>BALANCE!J13-BALANCE!I13</f>
        <v>3012.2901598801691</v>
      </c>
      <c r="L11" s="175"/>
      <c r="M11" s="175"/>
      <c r="N11" s="175"/>
      <c r="O11" s="175"/>
      <c r="P11" s="175"/>
      <c r="Q11" s="175"/>
      <c r="R11" s="175"/>
      <c r="S11" s="175"/>
      <c r="T11" s="175"/>
      <c r="U11" s="175"/>
    </row>
    <row r="12" spans="1:25" s="16" customFormat="1" ht="12" thickBot="1">
      <c r="B12" s="108" t="s">
        <v>16</v>
      </c>
      <c r="C12" s="35"/>
      <c r="D12" s="35"/>
      <c r="E12" s="35">
        <f>CTA.RES!C15</f>
        <v>16300.64248511905</v>
      </c>
      <c r="F12" s="35">
        <f>CTA.RES!D15</f>
        <v>11517.147936779202</v>
      </c>
      <c r="G12" s="35">
        <f>CTA.RES!E15</f>
        <v>7231.890516824571</v>
      </c>
      <c r="H12" s="35">
        <f>CTA.RES!F15</f>
        <v>53485.685121157221</v>
      </c>
      <c r="I12" s="35">
        <f>CTA.RES!G15</f>
        <v>50345.712506905984</v>
      </c>
      <c r="J12" s="83">
        <f>CTA.RES!H15</f>
        <v>66301.809407675188</v>
      </c>
      <c r="K12" s="2"/>
      <c r="L12" s="193"/>
      <c r="M12" s="193"/>
      <c r="N12" s="193"/>
      <c r="O12" s="193"/>
      <c r="P12" s="193"/>
      <c r="Q12" s="193"/>
      <c r="R12" s="193"/>
      <c r="S12" s="193"/>
      <c r="T12" s="193"/>
      <c r="U12" s="193"/>
    </row>
    <row r="13" spans="1:25" s="16" customFormat="1" ht="12" thickBot="1">
      <c r="B13" s="154" t="s">
        <v>21</v>
      </c>
      <c r="C13" s="155">
        <f>C4-C7</f>
        <v>-34660</v>
      </c>
      <c r="D13" s="155">
        <f t="shared" ref="D13:J13" si="2">D4-D7</f>
        <v>63513.684661458305</v>
      </c>
      <c r="E13" s="155">
        <f t="shared" si="2"/>
        <v>143678.77842888481</v>
      </c>
      <c r="F13" s="155">
        <f t="shared" si="2"/>
        <v>232311.72249361465</v>
      </c>
      <c r="G13" s="155">
        <f t="shared" si="2"/>
        <v>404940.37483471434</v>
      </c>
      <c r="H13" s="155">
        <f t="shared" si="2"/>
        <v>331220.49262201891</v>
      </c>
      <c r="I13" s="155">
        <f t="shared" si="2"/>
        <v>381790.38038936665</v>
      </c>
      <c r="J13" s="156">
        <f t="shared" si="2"/>
        <v>410818.47865693609</v>
      </c>
      <c r="K13" s="2"/>
      <c r="L13" s="193"/>
      <c r="M13" s="193"/>
      <c r="N13" s="193"/>
      <c r="O13" s="193"/>
      <c r="P13" s="193"/>
      <c r="Q13" s="193"/>
      <c r="R13" s="193"/>
      <c r="S13" s="193"/>
      <c r="T13" s="193"/>
      <c r="U13" s="193"/>
    </row>
    <row r="14" spans="1:25" s="16" customFormat="1" ht="12" thickBo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193"/>
      <c r="M14" s="193"/>
      <c r="N14" s="193"/>
      <c r="O14" s="193"/>
      <c r="P14" s="193"/>
      <c r="Q14" s="193"/>
      <c r="R14" s="193"/>
      <c r="S14" s="193"/>
      <c r="T14" s="193"/>
      <c r="U14" s="193"/>
    </row>
    <row r="15" spans="1:25" s="16" customFormat="1">
      <c r="B15" s="76" t="s">
        <v>118</v>
      </c>
      <c r="C15" s="326">
        <f>SUM(C16:C20)</f>
        <v>493277.2</v>
      </c>
      <c r="D15" s="326">
        <f t="shared" ref="D15:J15" si="3">SUM(D16:D20)</f>
        <v>409096.48825520813</v>
      </c>
      <c r="E15" s="326">
        <f t="shared" si="3"/>
        <v>591446.90292667679</v>
      </c>
      <c r="F15" s="326">
        <f t="shared" si="3"/>
        <v>126168.05999999998</v>
      </c>
      <c r="G15" s="326">
        <f t="shared" si="3"/>
        <v>17.230249999999998</v>
      </c>
      <c r="H15" s="326">
        <f t="shared" si="3"/>
        <v>2.1827872842550277E-12</v>
      </c>
      <c r="I15" s="326">
        <f t="shared" si="3"/>
        <v>7102.1082427523052</v>
      </c>
      <c r="J15" s="327">
        <f t="shared" si="3"/>
        <v>18128.410289099033</v>
      </c>
      <c r="K15" s="2"/>
      <c r="L15" s="193"/>
      <c r="M15" s="193"/>
      <c r="N15" s="193"/>
      <c r="O15" s="193"/>
      <c r="P15" s="193"/>
      <c r="Q15" s="193"/>
      <c r="R15" s="193"/>
      <c r="S15" s="193"/>
      <c r="T15" s="193"/>
      <c r="U15" s="193"/>
    </row>
    <row r="16" spans="1:25" s="16" customFormat="1">
      <c r="B16" s="108" t="s">
        <v>17</v>
      </c>
      <c r="C16" s="35">
        <f>BALANCE!C18</f>
        <v>224154.43333333335</v>
      </c>
      <c r="D16" s="35">
        <f>BALANCE!D18-BALANCE!C18</f>
        <v>142452.1971614582</v>
      </c>
      <c r="E16" s="35">
        <f>BALANCE!E18-BALANCE!D18</f>
        <v>251788.19318958046</v>
      </c>
      <c r="F16" s="35">
        <f>BALANCE!F18-BALANCE!E18</f>
        <v>0</v>
      </c>
      <c r="G16" s="35">
        <f>BALANCE!G18-BALANCE!F18</f>
        <v>0</v>
      </c>
      <c r="H16" s="35">
        <f>BALANCE!H18-BALANCE!G18</f>
        <v>0</v>
      </c>
      <c r="I16" s="35">
        <f>BALANCE!I18-BALANCE!H18</f>
        <v>0</v>
      </c>
      <c r="J16" s="83">
        <f>BALANCE!J18-BALANCE!I18</f>
        <v>0</v>
      </c>
      <c r="K16" s="2"/>
      <c r="L16" s="193"/>
      <c r="M16" s="193"/>
      <c r="N16" s="193"/>
      <c r="O16" s="193"/>
      <c r="P16" s="193"/>
      <c r="Q16" s="193"/>
      <c r="R16" s="193"/>
      <c r="S16" s="193"/>
      <c r="T16" s="193"/>
      <c r="U16" s="193"/>
    </row>
    <row r="17" spans="1:21" s="16" customFormat="1">
      <c r="B17" s="108" t="s">
        <v>241</v>
      </c>
      <c r="C17" s="35">
        <f>INPUTS!C51*ESCENARIOS!$C$11</f>
        <v>20000</v>
      </c>
      <c r="D17" s="35">
        <f>INPUTS!D51*ESCENARIOS!$C$11</f>
        <v>0</v>
      </c>
      <c r="E17" s="35">
        <f>INPUTS!E51*ESCENARIOS!$C$11</f>
        <v>0</v>
      </c>
      <c r="F17" s="35">
        <f>INPUTS!F51*ESCENARIOS!$C$11</f>
        <v>40000</v>
      </c>
      <c r="G17" s="35">
        <f>INPUTS!G51*ESCENARIOS!$C$11</f>
        <v>0</v>
      </c>
      <c r="H17" s="35">
        <f>INPUTS!H51*ESCENARIOS!$C$11</f>
        <v>0</v>
      </c>
      <c r="I17" s="35">
        <f>INPUTS!I51*ESCENARIOS!$C$11</f>
        <v>0</v>
      </c>
      <c r="J17" s="83">
        <f>INPUTS!J51*ESCENARIOS!$C$11</f>
        <v>0</v>
      </c>
      <c r="K17" s="2"/>
      <c r="L17" s="193"/>
      <c r="M17" s="193"/>
      <c r="N17" s="193"/>
      <c r="O17" s="193"/>
      <c r="P17" s="193"/>
      <c r="Q17" s="193"/>
      <c r="R17" s="193"/>
      <c r="S17" s="193"/>
      <c r="T17" s="193"/>
      <c r="U17" s="193"/>
    </row>
    <row r="18" spans="1:21" s="16" customFormat="1">
      <c r="B18" s="108" t="s">
        <v>155</v>
      </c>
      <c r="C18" s="35">
        <f>BALANCE!C23</f>
        <v>249122.76666666666</v>
      </c>
      <c r="D18" s="35">
        <f>MAX(0,BALANCE!D23-BALANCE!C23)</f>
        <v>213947.09109374991</v>
      </c>
      <c r="E18" s="35">
        <f>MAX(0,BALANCE!E23-BALANCE!D23)</f>
        <v>277338.70973709633</v>
      </c>
      <c r="F18" s="35">
        <f>MAX(0,BALANCE!F23-BALANCE!E23)</f>
        <v>0</v>
      </c>
      <c r="G18" s="35">
        <f>MAX(0,BALANCE!G23-BALANCE!F23)</f>
        <v>0</v>
      </c>
      <c r="H18" s="35">
        <f>MAX(0,BALANCE!H23-BALANCE!G23)</f>
        <v>0</v>
      </c>
      <c r="I18" s="35">
        <f>MAX(0,BALANCE!I23-BALANCE!H23)</f>
        <v>0</v>
      </c>
      <c r="J18" s="83">
        <f>MAX(0,BALANCE!J23-BALANCE!I23)</f>
        <v>0</v>
      </c>
      <c r="K18" s="2"/>
      <c r="L18" s="193"/>
      <c r="M18" s="193"/>
      <c r="N18" s="193"/>
      <c r="O18" s="193"/>
      <c r="P18" s="193"/>
      <c r="Q18" s="193"/>
      <c r="R18" s="193"/>
      <c r="S18" s="193"/>
      <c r="T18" s="193"/>
      <c r="U18" s="193"/>
    </row>
    <row r="19" spans="1:21" s="16" customFormat="1">
      <c r="B19" s="108" t="s">
        <v>110</v>
      </c>
      <c r="C19" s="35"/>
      <c r="D19" s="35">
        <f>C23</f>
        <v>52697.2</v>
      </c>
      <c r="E19" s="35">
        <f t="shared" ref="E19:J19" si="4">D23</f>
        <v>62319.999999999993</v>
      </c>
      <c r="F19" s="35">
        <f t="shared" si="4"/>
        <v>86168.059999999983</v>
      </c>
      <c r="G19" s="35">
        <f t="shared" si="4"/>
        <v>17.230249999999998</v>
      </c>
      <c r="H19" s="35">
        <f t="shared" si="4"/>
        <v>0</v>
      </c>
      <c r="I19" s="35">
        <f t="shared" si="4"/>
        <v>0</v>
      </c>
      <c r="J19" s="83">
        <f t="shared" si="4"/>
        <v>0</v>
      </c>
      <c r="K19" s="2"/>
      <c r="L19" s="193"/>
      <c r="M19" s="193"/>
      <c r="N19" s="193"/>
      <c r="O19" s="193"/>
      <c r="P19" s="193"/>
      <c r="Q19" s="193"/>
      <c r="R19" s="193"/>
      <c r="S19" s="193"/>
      <c r="T19" s="193"/>
      <c r="U19" s="193"/>
    </row>
    <row r="20" spans="1:21" s="16" customFormat="1">
      <c r="B20" s="108" t="s">
        <v>31</v>
      </c>
      <c r="C20" s="35"/>
      <c r="D20" s="35">
        <f>CTA.RES!C12</f>
        <v>0</v>
      </c>
      <c r="E20" s="35">
        <f>CTA.RES!D12</f>
        <v>0</v>
      </c>
      <c r="F20" s="35">
        <f>CTA.RES!E12</f>
        <v>-5.2386894822120665E-12</v>
      </c>
      <c r="G20" s="35">
        <f>CTA.RES!F12</f>
        <v>0</v>
      </c>
      <c r="H20" s="35">
        <f>CTA.RES!G12</f>
        <v>2.1827872842550277E-12</v>
      </c>
      <c r="I20" s="35">
        <f>CTA.RES!H12</f>
        <v>7102.1082427523052</v>
      </c>
      <c r="J20" s="83">
        <f>CTA.RES!I12</f>
        <v>18128.410289099033</v>
      </c>
      <c r="K20" s="2"/>
      <c r="L20" s="193"/>
      <c r="M20" s="193"/>
      <c r="N20" s="193"/>
      <c r="O20" s="193"/>
      <c r="P20" s="193"/>
      <c r="Q20" s="193"/>
      <c r="R20" s="193"/>
      <c r="S20" s="193"/>
      <c r="T20" s="193"/>
      <c r="U20" s="193"/>
    </row>
    <row r="21" spans="1:21" s="16" customFormat="1">
      <c r="B21" s="151" t="s">
        <v>22</v>
      </c>
      <c r="C21" s="152">
        <f>SUM(C22:C26)</f>
        <v>458617.2</v>
      </c>
      <c r="D21" s="152">
        <f t="shared" ref="D21:J21" si="5">SUM(D22:D26)</f>
        <v>472610.1729166666</v>
      </c>
      <c r="E21" s="152">
        <f t="shared" si="5"/>
        <v>735125.6813555616</v>
      </c>
      <c r="F21" s="152">
        <f t="shared" si="5"/>
        <v>358479.78249361453</v>
      </c>
      <c r="G21" s="152">
        <f t="shared" si="5"/>
        <v>404957.60508471413</v>
      </c>
      <c r="H21" s="152">
        <f t="shared" si="5"/>
        <v>94483.551196942397</v>
      </c>
      <c r="I21" s="152">
        <f t="shared" si="5"/>
        <v>21349.087087228043</v>
      </c>
      <c r="J21" s="153">
        <f t="shared" si="5"/>
        <v>26292.050490837712</v>
      </c>
      <c r="K21" s="2"/>
      <c r="L21" s="193"/>
      <c r="M21" s="193"/>
      <c r="N21" s="193"/>
      <c r="O21" s="193"/>
      <c r="P21" s="193"/>
      <c r="Q21" s="193"/>
      <c r="R21" s="193"/>
      <c r="S21" s="193"/>
      <c r="T21" s="193"/>
      <c r="U21" s="193"/>
    </row>
    <row r="22" spans="1:21" s="16" customFormat="1">
      <c r="B22" s="108" t="s">
        <v>23</v>
      </c>
      <c r="C22" s="35">
        <f>INV!C55</f>
        <v>405920</v>
      </c>
      <c r="D22" s="35">
        <f>INV!D55</f>
        <v>394719.99999999994</v>
      </c>
      <c r="E22" s="35">
        <f>INV!E55</f>
        <v>615125.56249999988</v>
      </c>
      <c r="F22" s="35">
        <f>INV!F55</f>
        <v>5907.1390624999995</v>
      </c>
      <c r="G22" s="35">
        <f>INV!G55</f>
        <v>5944.4362499999988</v>
      </c>
      <c r="H22" s="35">
        <f>INV!H55</f>
        <v>6093.0471562499979</v>
      </c>
      <c r="I22" s="35">
        <f>INV!I55</f>
        <v>6245.3733351562469</v>
      </c>
      <c r="J22" s="83">
        <f>INV!J55</f>
        <v>6401.5076685351532</v>
      </c>
      <c r="K22" s="2"/>
      <c r="L22" s="193"/>
      <c r="M22" s="193"/>
      <c r="N22" s="193"/>
      <c r="O22" s="193"/>
      <c r="P22" s="193"/>
      <c r="Q22" s="193"/>
      <c r="R22" s="193"/>
      <c r="S22" s="193"/>
      <c r="T22" s="193"/>
      <c r="U22" s="193"/>
    </row>
    <row r="23" spans="1:21" s="16" customFormat="1">
      <c r="B23" s="69" t="s">
        <v>54</v>
      </c>
      <c r="C23" s="35">
        <f>INV!C57</f>
        <v>52697.2</v>
      </c>
      <c r="D23" s="35">
        <f>INV!D57</f>
        <v>62319.999999999993</v>
      </c>
      <c r="E23" s="35">
        <f>INV!E57</f>
        <v>86168.059999999983</v>
      </c>
      <c r="F23" s="35">
        <f>INV!F57</f>
        <v>17.230249999999998</v>
      </c>
      <c r="G23" s="35">
        <f>INV!G57</f>
        <v>0</v>
      </c>
      <c r="H23" s="35">
        <f>INV!H57</f>
        <v>0</v>
      </c>
      <c r="I23" s="35">
        <f>INV!I57</f>
        <v>0</v>
      </c>
      <c r="J23" s="83">
        <f>INV!J57</f>
        <v>0</v>
      </c>
      <c r="K23" s="2"/>
      <c r="L23" s="193"/>
      <c r="M23" s="193"/>
      <c r="N23" s="193"/>
      <c r="O23" s="193"/>
      <c r="P23" s="193"/>
      <c r="Q23" s="193"/>
      <c r="R23" s="193"/>
      <c r="S23" s="193"/>
      <c r="T23" s="193"/>
      <c r="U23" s="193"/>
    </row>
    <row r="24" spans="1:21" s="16" customFormat="1">
      <c r="B24" s="108" t="s">
        <v>156</v>
      </c>
      <c r="C24" s="35"/>
      <c r="D24" s="35">
        <f>MAX(0,BALANCE!C23-BALANCE!D23)</f>
        <v>0</v>
      </c>
      <c r="E24" s="35">
        <f>MAX(0,BALANCE!D23-BALANCE!E23)</f>
        <v>0</v>
      </c>
      <c r="F24" s="35">
        <f>MAX(0,BALANCE!E23-BALANCE!F23)</f>
        <v>302824.73333148618</v>
      </c>
      <c r="G24" s="35">
        <f>MAX(0,BALANCE!F23-BALANCE!G23)</f>
        <v>369494.61204429006</v>
      </c>
      <c r="H24" s="35">
        <f>MAX(0,BALANCE!G23-BALANCE!H23)</f>
        <v>68089.222121736675</v>
      </c>
      <c r="I24" s="35">
        <f>MAX(0,BALANCE!H23-BALANCE!I23)</f>
        <v>0</v>
      </c>
      <c r="J24" s="83">
        <f>MAX(0,BALANCE!I23-BALANCE!J23)</f>
        <v>0</v>
      </c>
      <c r="K24" s="2"/>
      <c r="L24" s="193"/>
      <c r="M24" s="193"/>
      <c r="N24" s="193"/>
      <c r="O24" s="193"/>
      <c r="P24" s="193"/>
      <c r="Q24" s="193"/>
      <c r="R24" s="193"/>
      <c r="S24" s="193"/>
      <c r="T24" s="193"/>
      <c r="U24" s="193"/>
    </row>
    <row r="25" spans="1:21" s="16" customFormat="1">
      <c r="B25" s="108" t="s">
        <v>30</v>
      </c>
      <c r="C25" s="35"/>
      <c r="D25" s="35">
        <f>CTA.RES!C18</f>
        <v>0</v>
      </c>
      <c r="E25" s="35">
        <f>CTA.RES!D18</f>
        <v>4890.1927455357145</v>
      </c>
      <c r="F25" s="35">
        <f>CTA.RES!E18</f>
        <v>3455.1443810337605</v>
      </c>
      <c r="G25" s="35">
        <f>CTA.RES!F18</f>
        <v>2169.5671550473717</v>
      </c>
      <c r="H25" s="35">
        <f>CTA.RES!G18</f>
        <v>16045.705536347168</v>
      </c>
      <c r="I25" s="35">
        <f>CTA.RES!H18</f>
        <v>15103.713752071795</v>
      </c>
      <c r="J25" s="83">
        <f>CTA.RES!I18</f>
        <v>19890.542822302559</v>
      </c>
      <c r="K25" s="2"/>
      <c r="L25" s="193"/>
      <c r="M25" s="193"/>
      <c r="N25" s="193"/>
      <c r="O25" s="193"/>
      <c r="P25" s="193"/>
      <c r="Q25" s="193"/>
      <c r="R25" s="193"/>
      <c r="S25" s="193"/>
      <c r="T25" s="193"/>
      <c r="U25" s="193"/>
    </row>
    <row r="26" spans="1:21" s="16" customFormat="1" ht="12" thickBot="1">
      <c r="B26" s="132" t="s">
        <v>135</v>
      </c>
      <c r="C26" s="34"/>
      <c r="D26" s="35">
        <f>CTA.RES!C13</f>
        <v>15570.172916666666</v>
      </c>
      <c r="E26" s="35">
        <f>CTA.RES!D13</f>
        <v>28941.866110026036</v>
      </c>
      <c r="F26" s="35">
        <f>CTA.RES!E13</f>
        <v>46275.535468594557</v>
      </c>
      <c r="G26" s="35">
        <f>CTA.RES!F13</f>
        <v>27348.989635376671</v>
      </c>
      <c r="H26" s="35">
        <f>CTA.RES!G13</f>
        <v>4255.5763826085422</v>
      </c>
      <c r="I26" s="35">
        <f>CTA.RES!H13</f>
        <v>0</v>
      </c>
      <c r="J26" s="83">
        <f>CTA.RES!I13</f>
        <v>0</v>
      </c>
      <c r="K26" s="2"/>
      <c r="L26" s="193"/>
      <c r="M26" s="193"/>
      <c r="N26" s="193"/>
      <c r="O26" s="193"/>
      <c r="P26" s="193"/>
      <c r="Q26" s="193"/>
      <c r="R26" s="193"/>
      <c r="S26" s="193"/>
      <c r="T26" s="193"/>
      <c r="U26" s="193"/>
    </row>
    <row r="27" spans="1:21" s="15" customFormat="1" ht="12" thickBot="1">
      <c r="B27" s="154" t="s">
        <v>24</v>
      </c>
      <c r="C27" s="155">
        <f>C15-C21</f>
        <v>34660</v>
      </c>
      <c r="D27" s="155">
        <f t="shared" ref="D27:J27" si="6">D15-D21</f>
        <v>-63513.684661458479</v>
      </c>
      <c r="E27" s="155">
        <f t="shared" si="6"/>
        <v>-143678.77842888481</v>
      </c>
      <c r="F27" s="155">
        <f t="shared" si="6"/>
        <v>-232311.72249361454</v>
      </c>
      <c r="G27" s="155">
        <f t="shared" si="6"/>
        <v>-404940.37483471411</v>
      </c>
      <c r="H27" s="155">
        <f t="shared" si="6"/>
        <v>-94483.551196942397</v>
      </c>
      <c r="I27" s="155">
        <f t="shared" si="6"/>
        <v>-14246.978844475738</v>
      </c>
      <c r="J27" s="156">
        <f t="shared" si="6"/>
        <v>-8163.640201738679</v>
      </c>
      <c r="K27" s="2"/>
      <c r="L27" s="141"/>
      <c r="M27" s="141"/>
      <c r="N27" s="141"/>
      <c r="O27" s="141"/>
      <c r="P27" s="141"/>
      <c r="Q27" s="141"/>
      <c r="R27" s="141"/>
      <c r="S27" s="141"/>
      <c r="T27" s="141"/>
      <c r="U27" s="141"/>
    </row>
    <row r="28" spans="1:21" s="16" customFormat="1" ht="12" thickBo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193"/>
      <c r="M28" s="193"/>
      <c r="N28" s="193"/>
      <c r="O28" s="193"/>
      <c r="P28" s="193"/>
      <c r="Q28" s="193"/>
      <c r="R28" s="193"/>
      <c r="S28" s="193"/>
      <c r="T28" s="193"/>
      <c r="U28" s="193"/>
    </row>
    <row r="29" spans="1:21" s="15" customFormat="1" ht="12" thickBot="1">
      <c r="B29" s="154" t="s">
        <v>133</v>
      </c>
      <c r="C29" s="155">
        <f>C13+C27</f>
        <v>0</v>
      </c>
      <c r="D29" s="155">
        <f t="shared" ref="D29:J29" si="7">D13+D27</f>
        <v>-1.7462298274040222E-10</v>
      </c>
      <c r="E29" s="155">
        <f t="shared" si="7"/>
        <v>0</v>
      </c>
      <c r="F29" s="155">
        <f t="shared" si="7"/>
        <v>0</v>
      </c>
      <c r="G29" s="155">
        <f t="shared" si="7"/>
        <v>0</v>
      </c>
      <c r="H29" s="155">
        <f t="shared" si="7"/>
        <v>236736.94142507651</v>
      </c>
      <c r="I29" s="155">
        <f t="shared" si="7"/>
        <v>367543.40154489089</v>
      </c>
      <c r="J29" s="156">
        <f t="shared" si="7"/>
        <v>402654.8384551974</v>
      </c>
      <c r="K29" s="2"/>
      <c r="L29" s="141"/>
      <c r="M29" s="141"/>
      <c r="N29" s="141"/>
      <c r="O29" s="141"/>
      <c r="P29" s="141"/>
      <c r="Q29" s="141"/>
      <c r="R29" s="141"/>
      <c r="S29" s="141"/>
      <c r="T29" s="141"/>
      <c r="U29" s="141"/>
    </row>
    <row r="30" spans="1:21" s="16" customFormat="1" ht="12" thickBot="1">
      <c r="B30" s="133" t="s">
        <v>134</v>
      </c>
      <c r="C30" s="134">
        <f>C29</f>
        <v>0</v>
      </c>
      <c r="D30" s="134">
        <f>C30+D29</f>
        <v>-1.7462298274040222E-10</v>
      </c>
      <c r="E30" s="134">
        <f t="shared" ref="E30:J30" si="8">D30+E29</f>
        <v>-1.7462298274040222E-10</v>
      </c>
      <c r="F30" s="134">
        <f t="shared" si="8"/>
        <v>-1.7462298274040222E-10</v>
      </c>
      <c r="G30" s="134">
        <f t="shared" si="8"/>
        <v>-1.7462298274040222E-10</v>
      </c>
      <c r="H30" s="134">
        <f t="shared" si="8"/>
        <v>236736.94142507634</v>
      </c>
      <c r="I30" s="134">
        <f t="shared" si="8"/>
        <v>604280.34296996729</v>
      </c>
      <c r="J30" s="135">
        <f t="shared" si="8"/>
        <v>1006935.1814251647</v>
      </c>
      <c r="K30" s="2"/>
      <c r="L30" s="193"/>
      <c r="M30" s="193"/>
      <c r="N30" s="193"/>
      <c r="O30" s="193"/>
      <c r="P30" s="193"/>
      <c r="Q30" s="193"/>
      <c r="R30" s="193"/>
      <c r="S30" s="193"/>
      <c r="T30" s="193"/>
      <c r="U30" s="193"/>
    </row>
    <row r="31" spans="1:21" s="16" customFormat="1">
      <c r="B31" s="157" t="s">
        <v>245</v>
      </c>
      <c r="C31" s="32">
        <f>BALANCE!C14</f>
        <v>0</v>
      </c>
      <c r="D31" s="32">
        <f>BALANCE!D14</f>
        <v>0</v>
      </c>
      <c r="E31" s="32">
        <f>BALANCE!E14</f>
        <v>-1.7462298274040222E-10</v>
      </c>
      <c r="F31" s="32">
        <f>BALANCE!F14</f>
        <v>0</v>
      </c>
      <c r="G31" s="32">
        <f>BALANCE!G14</f>
        <v>7.2759576141834259E-11</v>
      </c>
      <c r="H31" s="32">
        <f>BALANCE!H14</f>
        <v>236736.94142507686</v>
      </c>
      <c r="I31" s="32">
        <f>BALANCE!I14</f>
        <v>604280.34296996775</v>
      </c>
      <c r="J31" s="32">
        <f>BALANCE!J14</f>
        <v>1006935.1814251652</v>
      </c>
      <c r="K31" s="2"/>
      <c r="L31" s="193"/>
      <c r="M31" s="193"/>
      <c r="N31" s="193"/>
      <c r="O31" s="193"/>
      <c r="P31" s="193"/>
      <c r="Q31" s="193"/>
      <c r="R31" s="193"/>
      <c r="S31" s="193"/>
      <c r="T31" s="193"/>
      <c r="U31" s="193"/>
    </row>
    <row r="32" spans="1:21" s="16" customFormat="1">
      <c r="B32" s="157" t="s">
        <v>140</v>
      </c>
      <c r="C32" s="32">
        <f t="shared" ref="C32:J32" si="9">ABS(C30-C31)</f>
        <v>0</v>
      </c>
      <c r="D32" s="32">
        <f t="shared" si="9"/>
        <v>1.7462298274040222E-10</v>
      </c>
      <c r="E32" s="32">
        <f t="shared" si="9"/>
        <v>0</v>
      </c>
      <c r="F32" s="32">
        <f t="shared" si="9"/>
        <v>1.7462298274040222E-10</v>
      </c>
      <c r="G32" s="32">
        <f t="shared" si="9"/>
        <v>2.4738255888223648E-10</v>
      </c>
      <c r="H32" s="32">
        <f t="shared" si="9"/>
        <v>5.2386894822120667E-10</v>
      </c>
      <c r="I32" s="32">
        <f t="shared" si="9"/>
        <v>4.6566128730773926E-10</v>
      </c>
      <c r="J32" s="32">
        <f t="shared" si="9"/>
        <v>4.6566128730773926E-10</v>
      </c>
      <c r="K32" s="2"/>
      <c r="L32" s="193"/>
      <c r="M32" s="193"/>
      <c r="N32" s="193"/>
      <c r="O32" s="193"/>
      <c r="P32" s="193"/>
      <c r="Q32" s="193"/>
      <c r="R32" s="193"/>
      <c r="S32" s="193"/>
      <c r="T32" s="193"/>
      <c r="U32" s="193"/>
    </row>
    <row r="33" spans="2:21" s="16" customFormat="1">
      <c r="B33" s="157" t="str">
        <f>IF(MAX(C32:J32)&lt;1,"OK","Error")</f>
        <v>OK</v>
      </c>
      <c r="C33" s="32"/>
      <c r="D33" s="33"/>
      <c r="E33" s="32"/>
      <c r="F33" s="32"/>
      <c r="G33" s="32"/>
      <c r="H33" s="32"/>
      <c r="I33" s="32"/>
      <c r="J33" s="32"/>
      <c r="K33" s="2"/>
      <c r="L33" s="193"/>
      <c r="M33" s="193"/>
      <c r="N33" s="193"/>
      <c r="O33" s="193"/>
      <c r="P33" s="193"/>
      <c r="Q33" s="193"/>
      <c r="R33" s="193"/>
      <c r="S33" s="193"/>
      <c r="T33" s="193"/>
      <c r="U33" s="193"/>
    </row>
    <row r="34" spans="2:21" s="16" customFormat="1">
      <c r="C34" s="32"/>
      <c r="D34" s="33"/>
      <c r="E34" s="32"/>
      <c r="F34" s="32"/>
      <c r="G34" s="32"/>
      <c r="H34" s="32"/>
      <c r="I34" s="32"/>
      <c r="J34" s="32"/>
      <c r="K34" s="2"/>
      <c r="L34" s="193"/>
      <c r="M34" s="193"/>
      <c r="N34" s="193"/>
      <c r="O34" s="193"/>
      <c r="P34" s="193"/>
      <c r="Q34" s="193"/>
      <c r="R34" s="193"/>
      <c r="S34" s="193"/>
      <c r="T34" s="193"/>
      <c r="U34" s="193"/>
    </row>
    <row r="35" spans="2:21">
      <c r="L35" s="175"/>
      <c r="M35" s="175"/>
      <c r="N35" s="175"/>
      <c r="O35" s="175"/>
      <c r="P35" s="175"/>
      <c r="Q35" s="175"/>
      <c r="R35" s="175"/>
      <c r="S35" s="175"/>
      <c r="T35" s="175"/>
      <c r="U35" s="175"/>
    </row>
    <row r="36" spans="2:21">
      <c r="L36" s="175"/>
      <c r="M36" s="175"/>
      <c r="N36" s="175"/>
      <c r="O36" s="175"/>
      <c r="P36" s="175"/>
      <c r="Q36" s="175"/>
      <c r="R36" s="175"/>
      <c r="S36" s="175"/>
      <c r="T36" s="175"/>
      <c r="U36" s="175"/>
    </row>
  </sheetData>
  <customSheetViews>
    <customSheetView guid="{D4D7EB24-CC17-11D2-866F-0020AFB54048}" showRuler="0" topLeftCell="E3">
      <selection activeCell="L24" sqref="L24"/>
      <pageMargins left="0.75" right="0.75" top="1.0900000000000001" bottom="1" header="0.511811024" footer="0.511811024"/>
      <printOptions headings="1"/>
      <pageSetup paperSize="9" orientation="landscape" r:id="rId1"/>
      <headerFooter alignWithMargins="0">
        <oddHeader>&amp;A</oddHeader>
        <oddFooter>&amp;LMODELEVA&amp;CDEPTO. ECONOMÍA FINANCIERA&amp;RUNIVERSIDAD DE SANTIAGO</oddFooter>
      </headerFooter>
    </customSheetView>
    <customSheetView guid="{D4D7EB23-CC17-11D2-866F-0020AFB54048}" showRuler="0" topLeftCell="E3">
      <selection activeCell="L24" sqref="L24"/>
      <pageMargins left="0.75" right="0.75" top="1.0900000000000001" bottom="1" header="0.511811024" footer="0.511811024"/>
      <printOptions headings="1"/>
      <pageSetup paperSize="9" orientation="landscape" r:id="rId2"/>
      <headerFooter alignWithMargins="0">
        <oddHeader>&amp;A</oddHeader>
        <oddFooter>&amp;LMODELEVA&amp;CDEPTO. ECONOMÍA FINANCIERA&amp;RUNIVERSIDAD DE SANTIAGO</oddFooter>
      </headerFooter>
    </customSheetView>
  </customSheetViews>
  <phoneticPr fontId="4" type="noConversion"/>
  <printOptions headings="1"/>
  <pageMargins left="0.9055118110236221" right="0.35433070866141736" top="0.94488188976377963" bottom="0.98425196850393704" header="0.51181102362204722" footer="0.51181102362204722"/>
  <pageSetup paperSize="9" orientation="landscape" horizontalDpi="300" verticalDpi="300" r:id="rId3"/>
  <headerFooter alignWithMargins="0">
    <oddHeader>&amp;A</oddHeader>
    <oddFooter>&amp;C&amp;F&amp;R&amp;D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9"/>
  <dimension ref="A1:BQ67"/>
  <sheetViews>
    <sheetView showGridLines="0" workbookViewId="0">
      <selection activeCell="J14" sqref="J14"/>
    </sheetView>
  </sheetViews>
  <sheetFormatPr baseColWidth="10" defaultRowHeight="11.25"/>
  <cols>
    <col min="1" max="1" width="6.5703125" style="2" customWidth="1"/>
    <col min="2" max="2" width="32" style="2" customWidth="1"/>
    <col min="3" max="3" width="11.85546875" style="2" customWidth="1"/>
    <col min="4" max="4" width="8.85546875" style="2" customWidth="1"/>
    <col min="5" max="9" width="7.85546875" style="2" customWidth="1"/>
    <col min="10" max="10" width="10.42578125" style="2" customWidth="1"/>
    <col min="11" max="69" width="11.42578125" style="16"/>
    <col min="70" max="16384" width="11.42578125" style="2"/>
  </cols>
  <sheetData>
    <row r="1" spans="1:69" ht="12" thickBot="1"/>
    <row r="2" spans="1:69">
      <c r="B2" s="65" t="s">
        <v>223</v>
      </c>
      <c r="C2" s="116">
        <f>INPUTS!C6</f>
        <v>0.12</v>
      </c>
      <c r="D2" s="59"/>
      <c r="E2" s="78" t="str">
        <f>ESCENARIOS!C5</f>
        <v>Escenario  Base</v>
      </c>
      <c r="F2" s="94"/>
      <c r="G2" s="59"/>
      <c r="H2" s="59"/>
      <c r="I2" s="59"/>
      <c r="J2" s="60"/>
    </row>
    <row r="3" spans="1:69">
      <c r="B3" s="53" t="s">
        <v>160</v>
      </c>
      <c r="C3" s="99">
        <f>INPUTS!C46</f>
        <v>0.03</v>
      </c>
      <c r="D3" s="51"/>
      <c r="E3" s="51"/>
      <c r="F3" s="51"/>
      <c r="G3" s="51"/>
      <c r="H3" s="51"/>
      <c r="I3" s="51"/>
      <c r="J3" s="55"/>
    </row>
    <row r="4" spans="1:69">
      <c r="B4" s="53" t="s">
        <v>74</v>
      </c>
      <c r="C4" s="100">
        <f>INPUTS!C7*ESCENARIOS!C10</f>
        <v>0.03</v>
      </c>
      <c r="D4" s="101"/>
      <c r="E4" s="101"/>
      <c r="F4" s="101"/>
      <c r="G4" s="101"/>
      <c r="H4" s="51"/>
      <c r="I4" s="101"/>
      <c r="J4" s="102"/>
    </row>
    <row r="5" spans="1:69">
      <c r="B5" s="332"/>
      <c r="C5" s="195"/>
      <c r="D5" s="195"/>
      <c r="E5" s="195"/>
      <c r="F5" s="195"/>
      <c r="G5" s="195"/>
      <c r="H5" s="195"/>
      <c r="I5" s="195"/>
      <c r="J5" s="196"/>
    </row>
    <row r="6" spans="1:69">
      <c r="B6" s="66"/>
      <c r="C6" s="51"/>
      <c r="D6" s="51"/>
      <c r="E6" s="51"/>
      <c r="F6" s="51"/>
      <c r="G6" s="51"/>
      <c r="H6" s="51"/>
      <c r="I6" s="51"/>
      <c r="J6" s="55"/>
    </row>
    <row r="7" spans="1:69" ht="12" thickBot="1">
      <c r="B7" s="106"/>
      <c r="C7" s="9" t="s">
        <v>18</v>
      </c>
      <c r="D7" s="4"/>
      <c r="E7" s="4"/>
      <c r="F7" s="4"/>
      <c r="G7" s="4"/>
      <c r="H7" s="4"/>
      <c r="I7" s="4"/>
      <c r="J7" s="56"/>
    </row>
    <row r="8" spans="1:69">
      <c r="B8" s="211" t="s">
        <v>5</v>
      </c>
      <c r="C8" s="255">
        <f>BALANCE!C3</f>
        <v>0</v>
      </c>
      <c r="D8" s="255">
        <f>BALANCE!D3</f>
        <v>1</v>
      </c>
      <c r="E8" s="255">
        <f>BALANCE!E3</f>
        <v>2</v>
      </c>
      <c r="F8" s="255">
        <f>BALANCE!F3</f>
        <v>3</v>
      </c>
      <c r="G8" s="255">
        <f>BALANCE!G3</f>
        <v>4</v>
      </c>
      <c r="H8" s="255">
        <f>BALANCE!H3</f>
        <v>5</v>
      </c>
      <c r="I8" s="255">
        <f>BALANCE!I3</f>
        <v>6</v>
      </c>
      <c r="J8" s="336">
        <f>BALANCE!J3</f>
        <v>7</v>
      </c>
    </row>
    <row r="9" spans="1:69" ht="12" thickBot="1">
      <c r="B9" s="333" t="s">
        <v>136</v>
      </c>
      <c r="C9" s="4">
        <v>1</v>
      </c>
      <c r="D9" s="334">
        <f>C9/(1+$C$2)</f>
        <v>0.89285714285714279</v>
      </c>
      <c r="E9" s="334">
        <f t="shared" ref="E9:J9" si="0">D9/(1+$C$2)</f>
        <v>0.79719387755102022</v>
      </c>
      <c r="F9" s="334">
        <f t="shared" si="0"/>
        <v>0.71178024781341087</v>
      </c>
      <c r="G9" s="334">
        <f t="shared" si="0"/>
        <v>0.6355180784048311</v>
      </c>
      <c r="H9" s="334">
        <f t="shared" si="0"/>
        <v>0.56742685571859919</v>
      </c>
      <c r="I9" s="334">
        <f t="shared" si="0"/>
        <v>0.50663112117732068</v>
      </c>
      <c r="J9" s="335">
        <f t="shared" si="0"/>
        <v>0.45234921533689343</v>
      </c>
    </row>
    <row r="10" spans="1:69" s="14" customFormat="1">
      <c r="A10" s="2"/>
      <c r="B10" s="103" t="s">
        <v>120</v>
      </c>
      <c r="C10" s="39"/>
      <c r="D10" s="38">
        <f>(CTA.RES!C11-CTA.RES!C10)*(1-INPUTS!$C$5)</f>
        <v>58436.700000000004</v>
      </c>
      <c r="E10" s="38">
        <f>(CTA.RES!D11-CTA.RES!D10)*(1-INPUTS!$C$5)</f>
        <v>54114.986249999987</v>
      </c>
      <c r="F10" s="38">
        <f>(CTA.RES!E11-CTA.RES!E10)*(1-INPUTS!$C$5)</f>
        <v>54259.466009062489</v>
      </c>
      <c r="G10" s="38">
        <f>(CTA.RES!F11-CTA.RES!F10)*(1-INPUTS!$C$5)</f>
        <v>174540.22616143274</v>
      </c>
      <c r="H10" s="38">
        <f>(CTA.RES!G11-CTA.RES!G10)*(1-INPUTS!$C$5)</f>
        <v>147800.24837910291</v>
      </c>
      <c r="I10" s="38">
        <f>(CTA.RES!H11-CTA.RES!H10)*(1-INPUTS!$C$5)</f>
        <v>187150.2756123899</v>
      </c>
      <c r="J10" s="85">
        <f>(CTA.RES!I11-CTA.RES!I10)*(1-INPUTS!$C$5)</f>
        <v>254753.18988878684</v>
      </c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</row>
    <row r="11" spans="1:69" s="14" customFormat="1">
      <c r="A11" s="2"/>
      <c r="B11" s="105" t="s">
        <v>39</v>
      </c>
      <c r="C11" s="39"/>
      <c r="D11" s="38">
        <f>CTA.RES!C9</f>
        <v>37384.400000000001</v>
      </c>
      <c r="E11" s="38">
        <f>CTA.RES!D9</f>
        <v>108538.39999999998</v>
      </c>
      <c r="F11" s="38">
        <f>CTA.RES!E9</f>
        <v>200458.70874999996</v>
      </c>
      <c r="G11" s="38">
        <f>CTA.RES!F9</f>
        <v>201633.67521874997</v>
      </c>
      <c r="H11" s="38">
        <f>CTA.RES!G9</f>
        <v>197822.56246874997</v>
      </c>
      <c r="I11" s="38">
        <f>CTA.RES!H9</f>
        <v>193001.17189999996</v>
      </c>
      <c r="J11" s="85">
        <f>CTA.RES!I9</f>
        <v>147591.24656703125</v>
      </c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</row>
    <row r="12" spans="1:69" s="14" customFormat="1">
      <c r="A12" s="2"/>
      <c r="B12" s="105" t="s">
        <v>78</v>
      </c>
      <c r="C12" s="38">
        <f>BALANCE!C33</f>
        <v>87357.2</v>
      </c>
      <c r="D12" s="38">
        <f>BALANCE!D33-BALANCE!C33</f>
        <v>45108.472853422616</v>
      </c>
      <c r="E12" s="38">
        <f>BALANCE!E33-BALANCE!D33</f>
        <v>49343.84863433594</v>
      </c>
      <c r="F12" s="38">
        <f>BALANCE!F33-BALANCE!E33</f>
        <v>-52889.779331689206</v>
      </c>
      <c r="G12" s="38">
        <f>BALANCE!G33-BALANCE!F33</f>
        <v>-24089.313438544545</v>
      </c>
      <c r="H12" s="38">
        <f>BALANCE!H33-BALANCE!G33</f>
        <v>13323.355178628946</v>
      </c>
      <c r="I12" s="38">
        <f>BALANCE!I33-BALANCE!H33</f>
        <v>-5557.3170805222326</v>
      </c>
      <c r="J12" s="85">
        <f>BALANCE!J33-BALANCE!I33</f>
        <v>-15149.001916249719</v>
      </c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</row>
    <row r="13" spans="1:69" s="16" customFormat="1">
      <c r="A13" s="2"/>
      <c r="B13" s="105" t="s">
        <v>139</v>
      </c>
      <c r="C13" s="38">
        <f>TES!C22</f>
        <v>405920</v>
      </c>
      <c r="D13" s="38">
        <f>TES!D22</f>
        <v>394719.99999999994</v>
      </c>
      <c r="E13" s="38">
        <f>TES!E22</f>
        <v>615125.56249999988</v>
      </c>
      <c r="F13" s="38">
        <f>TES!F22</f>
        <v>5907.1390624999995</v>
      </c>
      <c r="G13" s="38">
        <f>TES!G22</f>
        <v>5944.4362499999988</v>
      </c>
      <c r="H13" s="38">
        <f>TES!H22</f>
        <v>6093.0471562499979</v>
      </c>
      <c r="I13" s="38">
        <f>TES!I22</f>
        <v>6245.3733351562469</v>
      </c>
      <c r="J13" s="85">
        <f>TES!J22</f>
        <v>6401.5076685351532</v>
      </c>
    </row>
    <row r="14" spans="1:69" ht="12" thickBot="1">
      <c r="B14" s="106" t="s">
        <v>158</v>
      </c>
      <c r="C14" s="34"/>
      <c r="D14" s="34"/>
      <c r="E14" s="34"/>
      <c r="F14" s="34"/>
      <c r="G14" s="34"/>
      <c r="H14" s="34"/>
      <c r="I14" s="34"/>
      <c r="J14" s="93">
        <f>J10*(1+C4)/(C2-C4)</f>
        <v>2915508.7287272275</v>
      </c>
      <c r="K14" s="35"/>
    </row>
    <row r="15" spans="1:69" s="8" customFormat="1" ht="12" thickBot="1">
      <c r="A15" s="2"/>
      <c r="B15" s="115" t="s">
        <v>40</v>
      </c>
      <c r="C15" s="89">
        <f>-C12-C13</f>
        <v>-493277.2</v>
      </c>
      <c r="D15" s="89">
        <f t="shared" ref="D15:I15" si="1">D10+D11-D12-D13</f>
        <v>-344007.37285342254</v>
      </c>
      <c r="E15" s="89">
        <f t="shared" si="1"/>
        <v>-501816.02488433581</v>
      </c>
      <c r="F15" s="89">
        <f t="shared" si="1"/>
        <v>301700.81502825167</v>
      </c>
      <c r="G15" s="89">
        <f t="shared" si="1"/>
        <v>394318.7785687272</v>
      </c>
      <c r="H15" s="89">
        <f t="shared" si="1"/>
        <v>326206.40851297393</v>
      </c>
      <c r="I15" s="89">
        <f t="shared" si="1"/>
        <v>379463.39125775587</v>
      </c>
      <c r="J15" s="90">
        <f>J10+J11-J12-J13+J14</f>
        <v>3326600.6594307604</v>
      </c>
      <c r="K15" s="15"/>
      <c r="L15" s="15"/>
      <c r="M15" s="15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</row>
    <row r="16" spans="1:69">
      <c r="B16" s="337" t="s">
        <v>19</v>
      </c>
      <c r="C16" s="169">
        <f t="shared" ref="C16:J16" si="2">C15*C9</f>
        <v>-493277.2</v>
      </c>
      <c r="D16" s="169">
        <f t="shared" si="2"/>
        <v>-307149.44004769868</v>
      </c>
      <c r="E16" s="169">
        <f t="shared" si="2"/>
        <v>-400044.66269478295</v>
      </c>
      <c r="F16" s="169">
        <f t="shared" si="2"/>
        <v>214744.68088631702</v>
      </c>
      <c r="G16" s="169">
        <f t="shared" si="2"/>
        <v>250596.7124349376</v>
      </c>
      <c r="H16" s="169">
        <f t="shared" si="2"/>
        <v>185098.27669777369</v>
      </c>
      <c r="I16" s="169">
        <f t="shared" si="2"/>
        <v>192247.96335866515</v>
      </c>
      <c r="J16" s="200">
        <f t="shared" si="2"/>
        <v>1504785.1980326967</v>
      </c>
      <c r="K16" s="38"/>
    </row>
    <row r="17" spans="1:69">
      <c r="B17" s="108"/>
      <c r="C17" s="6"/>
      <c r="D17" s="6"/>
      <c r="E17" s="6"/>
      <c r="F17" s="6"/>
      <c r="G17" s="6"/>
      <c r="H17" s="6"/>
      <c r="I17" s="6"/>
      <c r="J17" s="107"/>
    </row>
    <row r="18" spans="1:69">
      <c r="B18" s="109" t="s">
        <v>0</v>
      </c>
      <c r="C18" s="110">
        <f>SUM(C16:J16)</f>
        <v>1147001.5286679086</v>
      </c>
      <c r="D18" s="26"/>
      <c r="E18" s="26"/>
      <c r="F18" s="26" t="s">
        <v>2</v>
      </c>
      <c r="G18" s="112">
        <f>C18/-C15</f>
        <v>2.3252676764056979</v>
      </c>
      <c r="H18" s="51"/>
      <c r="I18" s="51"/>
      <c r="J18" s="55"/>
    </row>
    <row r="19" spans="1:69">
      <c r="B19" s="109" t="s">
        <v>1</v>
      </c>
      <c r="C19" s="111">
        <f>IRR(C15:J15,0.05)</f>
        <v>0.27868851119871474</v>
      </c>
      <c r="D19" s="26"/>
      <c r="E19" s="26"/>
      <c r="F19" s="26" t="s">
        <v>3</v>
      </c>
      <c r="G19" s="113">
        <f>IF(SUM(C15:D15)&gt;0,D8,IF(SUM(C15:E15)&gt;0,E8,IF(SUM(C15:F15)&gt;0,F8,IF(SUM(C15:G15)&gt;0,G8,IF(SUM(C15:H15)&gt;0,H8,IF(SUM(C15:I15)&gt;0,I8,IF(SUM(C15:J15)&gt;0,J8)))))))</f>
        <v>6</v>
      </c>
      <c r="H19" s="51"/>
      <c r="I19" s="51"/>
      <c r="J19" s="55"/>
    </row>
    <row r="20" spans="1:69" ht="12" thickBot="1">
      <c r="B20" s="115" t="s">
        <v>111</v>
      </c>
      <c r="C20" s="165">
        <f>MIRR(C15:J15,C2,C3)</f>
        <v>0.22017392160924154</v>
      </c>
      <c r="D20" s="163"/>
      <c r="E20" s="163"/>
      <c r="F20" s="163" t="s">
        <v>4</v>
      </c>
      <c r="G20" s="338">
        <f>IF(SUM(C16:D16)&gt;0,D8,IF(SUM(C16:E16)&gt;0,E8,IF(SUM(C16:F16)&gt;0,F8,IF(SUM(C16:G16)&gt;0,G8,IF(SUM(C16:H16)&gt;0,H8,IF(SUM(C16:I16)&gt;0,I8,IF(SUM(C16:J16)&gt;0,J8)))))))</f>
        <v>7</v>
      </c>
      <c r="H20" s="4"/>
      <c r="I20" s="4"/>
      <c r="J20" s="56"/>
    </row>
    <row r="21" spans="1:69">
      <c r="A21" s="16"/>
      <c r="B21" s="16"/>
      <c r="C21" s="16"/>
      <c r="D21" s="16"/>
      <c r="E21" s="16"/>
      <c r="F21" s="16"/>
      <c r="G21" s="16"/>
      <c r="H21" s="16"/>
      <c r="I21" s="16"/>
      <c r="J21" s="16"/>
    </row>
    <row r="22" spans="1:69">
      <c r="A22" s="16"/>
      <c r="B22" s="16"/>
      <c r="C22" s="16"/>
      <c r="D22" s="16"/>
      <c r="E22" s="16"/>
      <c r="F22" s="16"/>
      <c r="G22" s="16"/>
      <c r="H22" s="16"/>
      <c r="I22" s="16"/>
      <c r="J22" s="16"/>
    </row>
    <row r="23" spans="1:69" ht="12" thickBot="1">
      <c r="A23" s="16"/>
      <c r="B23" s="16"/>
      <c r="C23" s="15" t="s">
        <v>224</v>
      </c>
      <c r="D23" s="16"/>
      <c r="E23" s="16"/>
      <c r="F23" s="16"/>
      <c r="G23" s="16"/>
      <c r="H23" s="16"/>
      <c r="I23" s="16"/>
      <c r="J23" s="16"/>
    </row>
    <row r="24" spans="1:69">
      <c r="B24" s="211" t="str">
        <f>B8</f>
        <v>AÑO</v>
      </c>
      <c r="C24" s="255">
        <f>C8</f>
        <v>0</v>
      </c>
      <c r="D24" s="255">
        <f t="shared" ref="D24:J24" si="3">D8</f>
        <v>1</v>
      </c>
      <c r="E24" s="255">
        <f t="shared" si="3"/>
        <v>2</v>
      </c>
      <c r="F24" s="255">
        <f t="shared" si="3"/>
        <v>3</v>
      </c>
      <c r="G24" s="255">
        <f t="shared" si="3"/>
        <v>4</v>
      </c>
      <c r="H24" s="255">
        <f t="shared" si="3"/>
        <v>5</v>
      </c>
      <c r="I24" s="255">
        <f t="shared" si="3"/>
        <v>6</v>
      </c>
      <c r="J24" s="336">
        <f t="shared" si="3"/>
        <v>7</v>
      </c>
    </row>
    <row r="25" spans="1:69" s="14" customFormat="1">
      <c r="A25" s="2"/>
      <c r="B25" s="69" t="s">
        <v>206</v>
      </c>
      <c r="C25" s="104"/>
      <c r="D25" s="47">
        <f>CTA.RES!C16</f>
        <v>48901.927455357145</v>
      </c>
      <c r="E25" s="47">
        <f>CTA.RES!D16</f>
        <v>34551.443810337601</v>
      </c>
      <c r="F25" s="47">
        <f>CTA.RES!E16</f>
        <v>21695.671550473715</v>
      </c>
      <c r="G25" s="47">
        <f>CTA.RES!F16</f>
        <v>160457.05536347168</v>
      </c>
      <c r="H25" s="47">
        <f>CTA.RES!G16</f>
        <v>151037.13752071795</v>
      </c>
      <c r="I25" s="47">
        <f>CTA.RES!H16</f>
        <v>198905.42822302558</v>
      </c>
      <c r="J25" s="114">
        <f>CTA.RES!I16</f>
        <v>274778.06903418258</v>
      </c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</row>
    <row r="26" spans="1:69" s="14" customFormat="1">
      <c r="A26" s="2"/>
      <c r="B26" s="105" t="s">
        <v>39</v>
      </c>
      <c r="C26" s="104"/>
      <c r="D26" s="47">
        <f>D11</f>
        <v>37384.400000000001</v>
      </c>
      <c r="E26" s="47">
        <f t="shared" ref="E26:J26" si="4">E11</f>
        <v>108538.39999999998</v>
      </c>
      <c r="F26" s="47">
        <f t="shared" si="4"/>
        <v>200458.70874999996</v>
      </c>
      <c r="G26" s="47">
        <f t="shared" si="4"/>
        <v>201633.67521874997</v>
      </c>
      <c r="H26" s="47">
        <f t="shared" si="4"/>
        <v>197822.56246874997</v>
      </c>
      <c r="I26" s="47">
        <f t="shared" si="4"/>
        <v>193001.17189999996</v>
      </c>
      <c r="J26" s="114">
        <f t="shared" si="4"/>
        <v>147591.24656703125</v>
      </c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</row>
    <row r="27" spans="1:69" s="14" customFormat="1">
      <c r="A27" s="2"/>
      <c r="B27" s="105" t="s">
        <v>78</v>
      </c>
      <c r="C27" s="38">
        <f>C12</f>
        <v>87357.2</v>
      </c>
      <c r="D27" s="38">
        <f t="shared" ref="D27:J27" si="5">D12</f>
        <v>45108.472853422616</v>
      </c>
      <c r="E27" s="38">
        <f t="shared" si="5"/>
        <v>49343.84863433594</v>
      </c>
      <c r="F27" s="38">
        <f t="shared" si="5"/>
        <v>-52889.779331689206</v>
      </c>
      <c r="G27" s="38">
        <f t="shared" si="5"/>
        <v>-24089.313438544545</v>
      </c>
      <c r="H27" s="38">
        <f t="shared" si="5"/>
        <v>13323.355178628946</v>
      </c>
      <c r="I27" s="38">
        <f t="shared" si="5"/>
        <v>-5557.3170805222326</v>
      </c>
      <c r="J27" s="85">
        <f t="shared" si="5"/>
        <v>-15149.001916249719</v>
      </c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</row>
    <row r="28" spans="1:69" s="14" customFormat="1">
      <c r="A28" s="2"/>
      <c r="B28" s="105" t="s">
        <v>41</v>
      </c>
      <c r="C28" s="47">
        <f>TES!C24-TES!C18</f>
        <v>-249122.76666666666</v>
      </c>
      <c r="D28" s="47">
        <f>TES!D24-TES!D18</f>
        <v>-213947.09109374991</v>
      </c>
      <c r="E28" s="47">
        <f>TES!E24-TES!E18</f>
        <v>-277338.70973709633</v>
      </c>
      <c r="F28" s="47">
        <f>TES!F24-TES!F18</f>
        <v>302824.73333148618</v>
      </c>
      <c r="G28" s="47">
        <f>TES!G24-TES!G18</f>
        <v>369494.61204429006</v>
      </c>
      <c r="H28" s="47">
        <f>TES!H24-TES!H18</f>
        <v>68089.222121736675</v>
      </c>
      <c r="I28" s="47">
        <f>TES!I24-TES!I18</f>
        <v>0</v>
      </c>
      <c r="J28" s="114">
        <f>TES!J24-TES!J18</f>
        <v>0</v>
      </c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</row>
    <row r="29" spans="1:69" s="14" customFormat="1">
      <c r="A29" s="2"/>
      <c r="B29" s="105" t="s">
        <v>42</v>
      </c>
      <c r="C29" s="47">
        <f>TES!C17</f>
        <v>20000</v>
      </c>
      <c r="D29" s="47">
        <f>TES!D17-CTA.RES!C10</f>
        <v>-2857.1428571428569</v>
      </c>
      <c r="E29" s="47">
        <f>TES!E17-CTA.RES!D10</f>
        <v>-2857.1428571428569</v>
      </c>
      <c r="F29" s="47">
        <f>TES!F17-CTA.RES!E10</f>
        <v>37142.857142857145</v>
      </c>
      <c r="G29" s="47">
        <f>TES!G17-CTA.RES!F10</f>
        <v>-8571.4285714285706</v>
      </c>
      <c r="H29" s="47">
        <f>TES!H17-CTA.RES!G10</f>
        <v>-8571.4285714285706</v>
      </c>
      <c r="I29" s="47">
        <f>TES!I17-CTA.RES!H10</f>
        <v>-8571.4285714285706</v>
      </c>
      <c r="J29" s="114">
        <f>TES!J17-CTA.RES!I10</f>
        <v>-8571.4285714285706</v>
      </c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</row>
    <row r="30" spans="1:69" s="14" customFormat="1">
      <c r="A30" s="2"/>
      <c r="B30" s="105" t="s">
        <v>139</v>
      </c>
      <c r="C30" s="47">
        <f>C13</f>
        <v>405920</v>
      </c>
      <c r="D30" s="47">
        <f t="shared" ref="D30:J30" si="6">D13</f>
        <v>394719.99999999994</v>
      </c>
      <c r="E30" s="47">
        <f t="shared" si="6"/>
        <v>615125.56249999988</v>
      </c>
      <c r="F30" s="47">
        <f t="shared" si="6"/>
        <v>5907.1390624999995</v>
      </c>
      <c r="G30" s="47">
        <f t="shared" si="6"/>
        <v>5944.4362499999988</v>
      </c>
      <c r="H30" s="47">
        <f t="shared" si="6"/>
        <v>6093.0471562499979</v>
      </c>
      <c r="I30" s="47">
        <f t="shared" si="6"/>
        <v>6245.3733351562469</v>
      </c>
      <c r="J30" s="114">
        <f t="shared" si="6"/>
        <v>6401.5076685351532</v>
      </c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</row>
    <row r="31" spans="1:69" s="14" customFormat="1">
      <c r="A31" s="2"/>
      <c r="B31" s="105" t="s">
        <v>159</v>
      </c>
      <c r="C31" s="47"/>
      <c r="D31" s="104"/>
      <c r="E31" s="104"/>
      <c r="F31" s="104"/>
      <c r="G31" s="104"/>
      <c r="H31" s="104"/>
      <c r="I31" s="104"/>
      <c r="J31" s="114">
        <f>J14-BALANCE!J23-BALANCE!J28+BALANCE!J14</f>
        <v>3792898.9567001248</v>
      </c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</row>
    <row r="32" spans="1:69" s="8" customFormat="1" ht="12" thickBot="1">
      <c r="A32" s="2"/>
      <c r="B32" s="133" t="s">
        <v>43</v>
      </c>
      <c r="C32" s="89">
        <f>-C27-C28+C29-C30</f>
        <v>-224154.43333333335</v>
      </c>
      <c r="D32" s="89">
        <f t="shared" ref="D32:I32" si="7">D25+D26-D27-D28+D29-D30</f>
        <v>-142452.19716145835</v>
      </c>
      <c r="E32" s="89">
        <f t="shared" si="7"/>
        <v>-246898.00044404471</v>
      </c>
      <c r="F32" s="89">
        <f t="shared" si="7"/>
        <v>3455.1443810338596</v>
      </c>
      <c r="G32" s="89">
        <f t="shared" si="7"/>
        <v>2169.5671550475327</v>
      </c>
      <c r="H32" s="89">
        <f t="shared" si="7"/>
        <v>252782.64696142374</v>
      </c>
      <c r="I32" s="89">
        <f t="shared" si="7"/>
        <v>382647.11529696296</v>
      </c>
      <c r="J32" s="90">
        <f>J25+J26-J27-J28+J29-J30+J31</f>
        <v>4215444.3379776245</v>
      </c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</row>
    <row r="33" spans="1:10" ht="12" thickBot="1">
      <c r="B33" s="366" t="s">
        <v>20</v>
      </c>
      <c r="C33" s="367">
        <f>IRR(C32:J32,0.05)</f>
        <v>0.42393288601996892</v>
      </c>
      <c r="D33" s="245"/>
      <c r="E33" s="245"/>
      <c r="F33" s="245"/>
      <c r="G33" s="368"/>
      <c r="H33" s="368"/>
      <c r="I33" s="368"/>
      <c r="J33" s="369"/>
    </row>
    <row r="34" spans="1:10">
      <c r="A34" s="35"/>
      <c r="B34" s="35"/>
      <c r="C34" s="35"/>
      <c r="D34" s="35"/>
      <c r="E34" s="35"/>
      <c r="F34" s="35"/>
      <c r="G34" s="51"/>
      <c r="H34" s="51"/>
      <c r="I34" s="51"/>
      <c r="J34" s="51"/>
    </row>
    <row r="35" spans="1:10">
      <c r="A35" s="35"/>
      <c r="B35" s="35"/>
      <c r="C35" s="35"/>
      <c r="D35" s="35"/>
      <c r="E35" s="35"/>
      <c r="F35" s="35"/>
      <c r="G35" s="51"/>
      <c r="H35" s="51"/>
      <c r="I35" s="51"/>
      <c r="J35" s="51"/>
    </row>
    <row r="36" spans="1:10">
      <c r="A36" s="51"/>
      <c r="B36" s="51"/>
      <c r="C36" s="38">
        <f>C18</f>
        <v>1147001.5286679086</v>
      </c>
    </row>
    <row r="37" spans="1:10">
      <c r="B37" s="19">
        <f>C3+0.01</f>
        <v>0.04</v>
      </c>
      <c r="C37" s="38">
        <f t="dataTable" ref="C37:C67" dt2D="0" dtr="0" r1="C2"/>
        <v>20137598.185048174</v>
      </c>
    </row>
    <row r="38" spans="1:10">
      <c r="B38" s="19">
        <f>B37+0.01</f>
        <v>0.05</v>
      </c>
      <c r="C38" s="38">
        <v>9463859.6836920027</v>
      </c>
    </row>
    <row r="39" spans="1:10">
      <c r="B39" s="19">
        <f t="shared" ref="B39:B67" si="8">B38+0.01</f>
        <v>6.0000000000000005E-2</v>
      </c>
      <c r="C39" s="38">
        <v>5902830.489358319</v>
      </c>
    </row>
    <row r="40" spans="1:10">
      <c r="B40" s="19">
        <f t="shared" si="8"/>
        <v>7.0000000000000007E-2</v>
      </c>
      <c r="C40" s="38">
        <v>4120629.9030086556</v>
      </c>
    </row>
    <row r="41" spans="1:10">
      <c r="B41" s="19">
        <f t="shared" si="8"/>
        <v>0.08</v>
      </c>
      <c r="C41" s="38">
        <v>3050420.514006306</v>
      </c>
    </row>
    <row r="42" spans="1:10">
      <c r="B42" s="19">
        <f t="shared" si="8"/>
        <v>0.09</v>
      </c>
      <c r="C42" s="38">
        <v>2336544.3891753699</v>
      </c>
    </row>
    <row r="43" spans="1:10">
      <c r="B43" s="19">
        <f t="shared" si="8"/>
        <v>9.9999999999999992E-2</v>
      </c>
      <c r="C43" s="38">
        <v>1826541.9897114458</v>
      </c>
    </row>
    <row r="44" spans="1:10">
      <c r="B44" s="19">
        <f t="shared" si="8"/>
        <v>0.10999999999999999</v>
      </c>
      <c r="C44" s="38">
        <v>1444156.4845949099</v>
      </c>
    </row>
    <row r="45" spans="1:10">
      <c r="B45" s="19">
        <f t="shared" si="8"/>
        <v>0.11999999999999998</v>
      </c>
      <c r="C45" s="38">
        <v>1147001.528667911</v>
      </c>
    </row>
    <row r="46" spans="1:10">
      <c r="B46" s="19">
        <f t="shared" si="8"/>
        <v>0.12999999999999998</v>
      </c>
      <c r="C46" s="38">
        <v>909628.11421117501</v>
      </c>
    </row>
    <row r="47" spans="1:10">
      <c r="B47" s="19">
        <f t="shared" si="8"/>
        <v>0.13999999999999999</v>
      </c>
      <c r="C47" s="38">
        <v>715827.47645565774</v>
      </c>
    </row>
    <row r="48" spans="1:10">
      <c r="B48" s="19">
        <f t="shared" si="8"/>
        <v>0.15</v>
      </c>
      <c r="C48" s="38">
        <v>554782.37681261892</v>
      </c>
    </row>
    <row r="49" spans="2:3">
      <c r="B49" s="19">
        <f t="shared" si="8"/>
        <v>0.16</v>
      </c>
      <c r="C49" s="38">
        <v>418994.57822458871</v>
      </c>
    </row>
    <row r="50" spans="2:3">
      <c r="B50" s="19">
        <f t="shared" si="8"/>
        <v>0.17</v>
      </c>
      <c r="C50" s="38">
        <v>303100.43111971451</v>
      </c>
    </row>
    <row r="51" spans="2:3">
      <c r="B51" s="19">
        <f>B50+0.01</f>
        <v>0.18000000000000002</v>
      </c>
      <c r="C51" s="38">
        <v>203160.13031642674</v>
      </c>
    </row>
    <row r="52" spans="2:3">
      <c r="B52" s="19">
        <f t="shared" si="8"/>
        <v>0.19000000000000003</v>
      </c>
      <c r="C52" s="38">
        <v>116213.42173004942</v>
      </c>
    </row>
    <row r="53" spans="2:3">
      <c r="B53" s="19">
        <f t="shared" si="8"/>
        <v>0.20000000000000004</v>
      </c>
      <c r="C53" s="38">
        <v>39992.052477912046</v>
      </c>
    </row>
    <row r="54" spans="2:3">
      <c r="B54" s="19">
        <f t="shared" si="8"/>
        <v>0.21000000000000005</v>
      </c>
      <c r="C54" s="38">
        <v>-27271.984521247447</v>
      </c>
    </row>
    <row r="55" spans="2:3">
      <c r="B55" s="19">
        <f t="shared" si="8"/>
        <v>0.22000000000000006</v>
      </c>
      <c r="C55" s="38">
        <v>-86977.698411486868</v>
      </c>
    </row>
    <row r="56" spans="2:3">
      <c r="B56" s="19">
        <f t="shared" si="8"/>
        <v>0.23000000000000007</v>
      </c>
      <c r="C56" s="38">
        <v>-140247.01352839632</v>
      </c>
    </row>
    <row r="57" spans="2:3">
      <c r="B57" s="19">
        <f t="shared" si="8"/>
        <v>0.24000000000000007</v>
      </c>
      <c r="C57" s="38">
        <v>-187990.45528880518</v>
      </c>
    </row>
    <row r="58" spans="2:3">
      <c r="B58" s="19">
        <f>B57+0.01</f>
        <v>0.25000000000000006</v>
      </c>
      <c r="C58" s="38">
        <v>-230954.95041626145</v>
      </c>
    </row>
    <row r="59" spans="2:3">
      <c r="B59" s="19">
        <f t="shared" si="8"/>
        <v>0.26000000000000006</v>
      </c>
      <c r="C59" s="38">
        <v>-269759.18203117314</v>
      </c>
    </row>
    <row r="60" spans="2:3">
      <c r="B60" s="19">
        <f t="shared" si="8"/>
        <v>0.27000000000000007</v>
      </c>
      <c r="C60" s="38">
        <v>-304920.12693881802</v>
      </c>
    </row>
    <row r="61" spans="2:3">
      <c r="B61" s="19">
        <f t="shared" si="8"/>
        <v>0.28000000000000008</v>
      </c>
      <c r="C61" s="38">
        <v>-336873.2419678492</v>
      </c>
    </row>
    <row r="62" spans="2:3">
      <c r="B62" s="19">
        <f t="shared" si="8"/>
        <v>0.29000000000000009</v>
      </c>
      <c r="C62" s="38">
        <v>-365988.00740636198</v>
      </c>
    </row>
    <row r="63" spans="2:3">
      <c r="B63" s="19">
        <f t="shared" si="8"/>
        <v>0.3000000000000001</v>
      </c>
      <c r="C63" s="38">
        <v>-392580.02968707506</v>
      </c>
    </row>
    <row r="64" spans="2:3">
      <c r="B64" s="19">
        <f t="shared" si="8"/>
        <v>0.31000000000000011</v>
      </c>
      <c r="C64" s="38">
        <v>-416920.56216557079</v>
      </c>
    </row>
    <row r="65" spans="2:3">
      <c r="B65" s="19">
        <f t="shared" si="8"/>
        <v>0.32000000000000012</v>
      </c>
      <c r="C65" s="38">
        <v>-439244.06605360145</v>
      </c>
    </row>
    <row r="66" spans="2:3">
      <c r="B66" s="19">
        <f>B65+0.01</f>
        <v>0.33000000000000013</v>
      </c>
      <c r="C66" s="38">
        <v>-459754.26780668518</v>
      </c>
    </row>
    <row r="67" spans="2:3">
      <c r="B67" s="19">
        <f t="shared" si="8"/>
        <v>0.34000000000000014</v>
      </c>
      <c r="C67" s="38">
        <v>-478629.0516139887</v>
      </c>
    </row>
  </sheetData>
  <customSheetViews>
    <customSheetView guid="{D4D7EB24-CC17-11D2-866F-0020AFB54048}" showPageBreaks="1" printArea="1" showRuler="0">
      <selection activeCell="C12" sqref="C12"/>
      <pageMargins left="0.25" right="0.31" top="0.33" bottom="0.25" header="0.22" footer="0.26"/>
      <printOptions headings="1"/>
      <pageSetup paperSize="9" orientation="landscape" horizontalDpi="300" verticalDpi="300" r:id="rId1"/>
      <headerFooter alignWithMargins="0">
        <oddHeader>&amp;A</oddHeader>
        <oddFooter>&amp;LMODELEVA&amp;CDEPTO. ECONOMIA FINANCIERA&amp;RUNIVERSIDAD DE SANTIAGO</oddFooter>
      </headerFooter>
    </customSheetView>
    <customSheetView guid="{D4D7EB23-CC17-11D2-866F-0020AFB54048}" showPageBreaks="1" printArea="1" showRuler="0">
      <selection activeCell="C12" sqref="C12"/>
      <pageMargins left="0.25" right="0.31" top="0.33" bottom="0.25" header="0.22" footer="0.26"/>
      <printOptions headings="1"/>
      <pageSetup paperSize="9" orientation="landscape" horizontalDpi="300" verticalDpi="300" r:id="rId2"/>
      <headerFooter alignWithMargins="0">
        <oddHeader>&amp;A</oddHeader>
        <oddFooter>&amp;LMODELEVA&amp;CDEPTO. ECONOMIA FINANCIERA&amp;RUNIVERSIDAD DE SANTIAGO</oddFooter>
      </headerFooter>
    </customSheetView>
  </customSheetViews>
  <phoneticPr fontId="4" type="noConversion"/>
  <printOptions headings="1"/>
  <pageMargins left="0.9055118110236221" right="0.35433070866141736" top="0.4" bottom="0.85" header="0.21" footer="0.51181102362204722"/>
  <pageSetup paperSize="9" orientation="landscape" horizontalDpi="300" verticalDpi="300" r:id="rId3"/>
  <headerFooter alignWithMargins="0">
    <oddHeader>&amp;A</oddHeader>
    <oddFooter>&amp;C&amp;F&amp;R&amp;D</oddFooter>
  </headerFooter>
  <drawing r:id="rId4"/>
  <legacyDrawing r:id="rId5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1:K56"/>
  <sheetViews>
    <sheetView showGridLines="0" topLeftCell="B1" workbookViewId="0">
      <selection activeCell="I46" sqref="I46"/>
    </sheetView>
  </sheetViews>
  <sheetFormatPr baseColWidth="10" defaultRowHeight="12.75"/>
  <cols>
    <col min="1" max="1" width="19.7109375" customWidth="1"/>
    <col min="2" max="2" width="20.42578125" bestFit="1" customWidth="1"/>
    <col min="3" max="3" width="16.85546875" bestFit="1" customWidth="1"/>
    <col min="4" max="4" width="10.5703125" customWidth="1"/>
    <col min="5" max="5" width="11.28515625" bestFit="1" customWidth="1"/>
    <col min="6" max="6" width="16.28515625" customWidth="1"/>
    <col min="7" max="7" width="15.85546875" customWidth="1"/>
    <col min="8" max="8" width="12" bestFit="1" customWidth="1"/>
    <col min="9" max="9" width="13.28515625" bestFit="1" customWidth="1"/>
    <col min="11" max="11" width="6" bestFit="1" customWidth="1"/>
  </cols>
  <sheetData>
    <row r="1" spans="1:11" ht="13.5" thickBot="1"/>
    <row r="2" spans="1:11" ht="13.5" thickBot="1">
      <c r="B2" s="144"/>
      <c r="C2" s="145"/>
      <c r="D2" s="145"/>
      <c r="E2" s="145"/>
      <c r="F2" s="145"/>
      <c r="G2" s="146"/>
      <c r="H2" s="146"/>
    </row>
    <row r="3" spans="1:11" s="2" customFormat="1" ht="13.5" thickBot="1">
      <c r="A3" s="14"/>
      <c r="B3" s="212" t="s">
        <v>52</v>
      </c>
      <c r="C3" s="212" t="s">
        <v>53</v>
      </c>
      <c r="D3" s="213"/>
      <c r="E3" s="214" t="s">
        <v>248</v>
      </c>
      <c r="F3" s="214" t="s">
        <v>259</v>
      </c>
      <c r="G3" s="215" t="s">
        <v>247</v>
      </c>
      <c r="H3" s="55"/>
    </row>
    <row r="4" spans="1:11" s="2" customFormat="1" ht="13.5" thickTop="1">
      <c r="A4" s="14"/>
      <c r="B4" s="66"/>
      <c r="C4" s="346" t="str">
        <f>INPUTS!C98</f>
        <v>Base</v>
      </c>
      <c r="D4" s="67"/>
      <c r="E4" s="67"/>
      <c r="F4" s="67"/>
      <c r="G4" s="68"/>
      <c r="H4" s="55"/>
      <c r="I4"/>
      <c r="J4"/>
    </row>
    <row r="5" spans="1:11" s="2" customFormat="1">
      <c r="A5" s="14"/>
      <c r="B5" s="69"/>
      <c r="C5" s="26" t="str">
        <f>"Escenario  "&amp;C4</f>
        <v>Escenario  Base</v>
      </c>
      <c r="D5" s="26"/>
      <c r="E5" s="67"/>
      <c r="F5" s="67"/>
      <c r="G5" s="68"/>
      <c r="H5" s="55"/>
      <c r="I5"/>
      <c r="J5"/>
    </row>
    <row r="6" spans="1:11" s="2" customFormat="1">
      <c r="A6" s="14"/>
      <c r="B6" s="53" t="s">
        <v>252</v>
      </c>
      <c r="C6" s="70">
        <f>IF($C$4=$E$3,E6,IF($C$4=$G$3,G6,F6))</f>
        <v>1</v>
      </c>
      <c r="D6" s="70"/>
      <c r="E6" s="342">
        <f>INPUTS!C92</f>
        <v>1.05</v>
      </c>
      <c r="F6" s="342">
        <v>1</v>
      </c>
      <c r="G6" s="343">
        <f>INPUTS!D92</f>
        <v>0.95</v>
      </c>
      <c r="H6" s="147"/>
      <c r="I6"/>
      <c r="J6"/>
      <c r="K6" s="19"/>
    </row>
    <row r="7" spans="1:11" s="2" customFormat="1">
      <c r="A7" s="14"/>
      <c r="B7" s="53" t="s">
        <v>257</v>
      </c>
      <c r="C7" s="70">
        <f t="shared" ref="C7:C11" si="0">IF($C$4=$E$3,E7,IF($C$4=$G$3,G7,F7))</f>
        <v>1</v>
      </c>
      <c r="D7" s="70"/>
      <c r="E7" s="342">
        <f>INPUTS!C93</f>
        <v>0.9</v>
      </c>
      <c r="F7" s="342">
        <v>1</v>
      </c>
      <c r="G7" s="343">
        <f>INPUTS!D93</f>
        <v>1.05</v>
      </c>
      <c r="H7" s="148"/>
      <c r="I7"/>
      <c r="J7"/>
      <c r="K7" s="20"/>
    </row>
    <row r="8" spans="1:11" s="2" customFormat="1">
      <c r="A8" s="14"/>
      <c r="B8" s="53" t="s">
        <v>253</v>
      </c>
      <c r="C8" s="70">
        <f t="shared" si="0"/>
        <v>1</v>
      </c>
      <c r="D8" s="70"/>
      <c r="E8" s="342">
        <f>INPUTS!C94</f>
        <v>0.95</v>
      </c>
      <c r="F8" s="342">
        <v>1</v>
      </c>
      <c r="G8" s="343">
        <f>INPUTS!D94</f>
        <v>1.05</v>
      </c>
      <c r="H8" s="148"/>
      <c r="I8"/>
      <c r="J8"/>
      <c r="K8" s="20"/>
    </row>
    <row r="9" spans="1:11" s="2" customFormat="1">
      <c r="A9" s="14"/>
      <c r="B9" s="53" t="s">
        <v>254</v>
      </c>
      <c r="C9" s="70">
        <f t="shared" si="0"/>
        <v>1</v>
      </c>
      <c r="D9" s="70"/>
      <c r="E9" s="342">
        <f>INPUTS!C95</f>
        <v>1.05</v>
      </c>
      <c r="F9" s="342">
        <v>1</v>
      </c>
      <c r="G9" s="343">
        <f>INPUTS!D95</f>
        <v>0.95</v>
      </c>
      <c r="H9" s="148"/>
      <c r="I9"/>
      <c r="J9"/>
      <c r="K9" s="20"/>
    </row>
    <row r="10" spans="1:11" s="2" customFormat="1">
      <c r="A10" s="14"/>
      <c r="B10" s="53" t="s">
        <v>255</v>
      </c>
      <c r="C10" s="70">
        <f t="shared" si="0"/>
        <v>1</v>
      </c>
      <c r="D10" s="70"/>
      <c r="E10" s="342">
        <f>INPUTS!C96</f>
        <v>0.9</v>
      </c>
      <c r="F10" s="342">
        <v>1</v>
      </c>
      <c r="G10" s="343">
        <f>INPUTS!D96</f>
        <v>1.05</v>
      </c>
      <c r="H10" s="148"/>
      <c r="I10"/>
      <c r="J10"/>
      <c r="K10" s="20"/>
    </row>
    <row r="11" spans="1:11" s="2" customFormat="1" ht="13.5" thickBot="1">
      <c r="A11" s="14"/>
      <c r="B11" s="57" t="s">
        <v>256</v>
      </c>
      <c r="C11" s="74">
        <f t="shared" si="0"/>
        <v>1</v>
      </c>
      <c r="D11" s="4"/>
      <c r="E11" s="344">
        <f>INPUTS!C97</f>
        <v>0.8</v>
      </c>
      <c r="F11" s="344">
        <v>1</v>
      </c>
      <c r="G11" s="345">
        <f>INPUTS!D97</f>
        <v>1.1000000000000001</v>
      </c>
      <c r="H11" s="148"/>
      <c r="I11"/>
      <c r="J11"/>
      <c r="K11" s="20"/>
    </row>
    <row r="12" spans="1:11">
      <c r="B12" s="117"/>
      <c r="C12" s="118"/>
      <c r="D12" s="118"/>
      <c r="E12" s="118"/>
      <c r="F12" s="118"/>
      <c r="G12" s="118"/>
      <c r="H12" s="119"/>
    </row>
    <row r="13" spans="1:11">
      <c r="B13" s="117"/>
      <c r="C13" s="118"/>
      <c r="D13" s="118"/>
      <c r="E13" s="118"/>
      <c r="F13" s="118"/>
      <c r="G13" s="118"/>
      <c r="H13" s="119"/>
    </row>
    <row r="14" spans="1:11" ht="13.5" thickBot="1">
      <c r="B14" s="117"/>
      <c r="C14" s="51"/>
      <c r="D14" s="51"/>
      <c r="E14" s="403" t="str">
        <f>E3</f>
        <v>Pesimista</v>
      </c>
      <c r="F14" s="403" t="str">
        <f t="shared" ref="F14:G14" si="1">F3</f>
        <v>Base</v>
      </c>
      <c r="G14" s="403" t="str">
        <f t="shared" si="1"/>
        <v>Optimista</v>
      </c>
      <c r="H14" s="119"/>
    </row>
    <row r="15" spans="1:11">
      <c r="B15" s="117"/>
      <c r="C15" s="54" t="s">
        <v>38</v>
      </c>
      <c r="D15" s="383">
        <f>RENTAB!$C$18</f>
        <v>1147001.5286679086</v>
      </c>
      <c r="E15" s="397">
        <f t="dataTable" ref="E15:G18" dt2D="0" dtr="1" r1="C4" ca="1"/>
        <v>-222446.16899732198</v>
      </c>
      <c r="F15" s="398">
        <v>1147001.5286679086</v>
      </c>
      <c r="G15" s="399">
        <v>2292454.7093747025</v>
      </c>
      <c r="H15" s="119"/>
    </row>
    <row r="16" spans="1:11">
      <c r="B16" s="117"/>
      <c r="C16" s="54" t="s">
        <v>65</v>
      </c>
      <c r="D16" s="384">
        <f>RENTAB!$C$19</f>
        <v>0.27868851119871474</v>
      </c>
      <c r="E16" s="380">
        <v>7.9580447181472502E-2</v>
      </c>
      <c r="F16" s="201">
        <v>0.27868851119871474</v>
      </c>
      <c r="G16" s="400">
        <v>0.40389130176808963</v>
      </c>
      <c r="H16" s="119"/>
    </row>
    <row r="17" spans="2:8">
      <c r="B17" s="117"/>
      <c r="C17" s="54" t="s">
        <v>94</v>
      </c>
      <c r="D17" s="385">
        <f>RENTAB!$G$20</f>
        <v>7</v>
      </c>
      <c r="E17" s="381" t="b">
        <v>0</v>
      </c>
      <c r="F17" s="202">
        <v>7</v>
      </c>
      <c r="G17" s="401">
        <v>6</v>
      </c>
      <c r="H17" s="119"/>
    </row>
    <row r="18" spans="2:8" ht="13.5" thickBot="1">
      <c r="B18" s="117"/>
      <c r="C18" s="54" t="s">
        <v>37</v>
      </c>
      <c r="D18" s="386">
        <f>RENTAB!$C$33</f>
        <v>0.42393288601996892</v>
      </c>
      <c r="E18" s="382">
        <v>0.1367176927011271</v>
      </c>
      <c r="F18" s="203">
        <v>0.42393288601996892</v>
      </c>
      <c r="G18" s="402">
        <v>0.60913808491352994</v>
      </c>
      <c r="H18" s="119"/>
    </row>
    <row r="19" spans="2:8" ht="13.5" thickBot="1">
      <c r="B19" s="120"/>
      <c r="C19" s="149"/>
      <c r="D19" s="149"/>
      <c r="E19" s="149"/>
      <c r="F19" s="149"/>
      <c r="G19" s="149"/>
      <c r="H19" s="150"/>
    </row>
    <row r="40" spans="2:11" ht="13.5" thickBot="1">
      <c r="C40" s="371" t="s">
        <v>260</v>
      </c>
      <c r="F40" s="370"/>
      <c r="G40" s="371" t="s">
        <v>250</v>
      </c>
    </row>
    <row r="41" spans="2:11" ht="13.5" thickBot="1">
      <c r="B41" s="144"/>
      <c r="C41" s="404" t="str">
        <f>E3</f>
        <v>Pesimista</v>
      </c>
      <c r="D41" s="404" t="str">
        <f t="shared" ref="D41:E41" si="2">F3</f>
        <v>Base</v>
      </c>
      <c r="E41" s="405" t="str">
        <f t="shared" si="2"/>
        <v>Optimista</v>
      </c>
      <c r="H41" s="371" t="str">
        <f>C41</f>
        <v>Pesimista</v>
      </c>
      <c r="I41" s="371" t="str">
        <f>E41</f>
        <v>Optimista</v>
      </c>
      <c r="J41" s="371" t="s">
        <v>249</v>
      </c>
      <c r="K41" s="406" t="s">
        <v>258</v>
      </c>
    </row>
    <row r="42" spans="2:11">
      <c r="B42" s="374" t="str">
        <f>B6</f>
        <v>Inversión</v>
      </c>
      <c r="C42" s="387">
        <f>E6</f>
        <v>1.05</v>
      </c>
      <c r="D42" s="387">
        <f>F6</f>
        <v>1</v>
      </c>
      <c r="E42" s="388">
        <f>G6</f>
        <v>0.95</v>
      </c>
      <c r="F42" s="222"/>
      <c r="G42" s="144" t="str">
        <f>B42</f>
        <v>Inversión</v>
      </c>
      <c r="H42" s="378">
        <f>C43-D15</f>
        <v>-84060.990641844459</v>
      </c>
      <c r="I42" s="378">
        <f>E43-D15</f>
        <v>84060.990641843993</v>
      </c>
      <c r="J42" s="379">
        <f t="shared" ref="J42:J47" si="3">ABS(I42-H42)</f>
        <v>168121.98128368845</v>
      </c>
      <c r="K42" s="407">
        <f t="shared" ref="K42:K47" si="4">RANK(J42,$J$42:$J$47)</f>
        <v>5</v>
      </c>
    </row>
    <row r="43" spans="2:11">
      <c r="B43" s="393">
        <f>D15</f>
        <v>1147001.5286679086</v>
      </c>
      <c r="C43" s="389">
        <f t="dataTable" ref="C43:E43" dt2D="0" dtr="1" r1="C6" ca="1"/>
        <v>1062940.5380260642</v>
      </c>
      <c r="D43" s="389">
        <v>1147001.5286679086</v>
      </c>
      <c r="E43" s="390">
        <v>1231062.5193097526</v>
      </c>
      <c r="F43" s="222"/>
      <c r="G43" s="117" t="str">
        <f>B44</f>
        <v>Nivel de Actividad</v>
      </c>
      <c r="H43" s="373">
        <f>C45-D15</f>
        <v>-597709.47734467871</v>
      </c>
      <c r="I43" s="373">
        <f>E45-D15</f>
        <v>304146.06643359037</v>
      </c>
      <c r="J43" s="375">
        <f t="shared" si="3"/>
        <v>901855.54377826909</v>
      </c>
      <c r="K43" s="408">
        <f t="shared" si="4"/>
        <v>1</v>
      </c>
    </row>
    <row r="44" spans="2:11">
      <c r="B44" s="374" t="str">
        <f>B7</f>
        <v>Nivel de Actividad</v>
      </c>
      <c r="C44" s="387">
        <f>E7</f>
        <v>0.9</v>
      </c>
      <c r="D44" s="387">
        <f>F7</f>
        <v>1</v>
      </c>
      <c r="E44" s="388">
        <f>G7</f>
        <v>1.05</v>
      </c>
      <c r="F44" s="222"/>
      <c r="G44" s="117" t="str">
        <f>B46</f>
        <v>Precio</v>
      </c>
      <c r="H44" s="373">
        <f>C47-D15</f>
        <v>-300646.18323208741</v>
      </c>
      <c r="I44" s="373">
        <f>E47-D15</f>
        <v>304146.0664335913</v>
      </c>
      <c r="J44" s="375">
        <f t="shared" si="3"/>
        <v>604792.24966567871</v>
      </c>
      <c r="K44" s="408">
        <f t="shared" si="4"/>
        <v>2</v>
      </c>
    </row>
    <row r="45" spans="2:11">
      <c r="B45" s="393">
        <f>D15</f>
        <v>1147001.5286679086</v>
      </c>
      <c r="C45" s="389">
        <f t="dataTable" ref="C45:E45" dt2D="0" dtr="1" r1="C7" ca="1"/>
        <v>549292.05132322991</v>
      </c>
      <c r="D45" s="389">
        <v>1147001.5286679086</v>
      </c>
      <c r="E45" s="390">
        <v>1451147.595101499</v>
      </c>
      <c r="F45" s="222"/>
      <c r="G45" s="117" t="str">
        <f>B48</f>
        <v>Costes</v>
      </c>
      <c r="H45" s="373">
        <f>C49-D15</f>
        <v>-273594.96232849325</v>
      </c>
      <c r="I45" s="373">
        <f>E49-D15</f>
        <v>273594.9623284922</v>
      </c>
      <c r="J45" s="375">
        <f t="shared" si="3"/>
        <v>547189.92465698544</v>
      </c>
      <c r="K45" s="408">
        <f t="shared" si="4"/>
        <v>3</v>
      </c>
    </row>
    <row r="46" spans="2:11">
      <c r="B46" s="374" t="str">
        <f>B8</f>
        <v>Precio</v>
      </c>
      <c r="C46" s="387">
        <f>E8</f>
        <v>0.95</v>
      </c>
      <c r="D46" s="387">
        <f>F8</f>
        <v>1</v>
      </c>
      <c r="E46" s="388">
        <f>G8</f>
        <v>1.05</v>
      </c>
      <c r="F46" s="222"/>
      <c r="G46" s="117" t="str">
        <f>B50</f>
        <v>Crecimiento</v>
      </c>
      <c r="H46" s="373">
        <f>C51-D15</f>
        <v>-215858.78468528215</v>
      </c>
      <c r="I46" s="373">
        <f>E51-D15</f>
        <v>114961.30562402494</v>
      </c>
      <c r="J46" s="375">
        <f t="shared" si="3"/>
        <v>330820.0903093071</v>
      </c>
      <c r="K46" s="408">
        <f t="shared" si="4"/>
        <v>4</v>
      </c>
    </row>
    <row r="47" spans="2:11" ht="13.5" thickBot="1">
      <c r="B47" s="393">
        <f>D15</f>
        <v>1147001.5286679086</v>
      </c>
      <c r="C47" s="389">
        <f t="dataTable" ref="C47:E47" dt2D="0" dtr="1" r1="C8" ca="1"/>
        <v>846355.34543582122</v>
      </c>
      <c r="D47" s="389">
        <v>1147001.5286679086</v>
      </c>
      <c r="E47" s="390">
        <v>1451147.5951014999</v>
      </c>
      <c r="F47" s="222"/>
      <c r="G47" s="120" t="str">
        <f>B52</f>
        <v>Subvenciones</v>
      </c>
      <c r="H47" s="376">
        <f>C53-D15</f>
        <v>-7107.1499012296554</v>
      </c>
      <c r="I47" s="376">
        <f>E53-D15</f>
        <v>3553.5749506144784</v>
      </c>
      <c r="J47" s="377">
        <f t="shared" si="3"/>
        <v>10660.724851844134</v>
      </c>
      <c r="K47" s="409">
        <f t="shared" si="4"/>
        <v>6</v>
      </c>
    </row>
    <row r="48" spans="2:11">
      <c r="B48" s="374" t="str">
        <f>B9</f>
        <v>Costes</v>
      </c>
      <c r="C48" s="387">
        <f>E9</f>
        <v>1.05</v>
      </c>
      <c r="D48" s="387">
        <f>F9</f>
        <v>1</v>
      </c>
      <c r="E48" s="388">
        <f>G9</f>
        <v>0.95</v>
      </c>
      <c r="F48" s="222"/>
    </row>
    <row r="49" spans="2:10">
      <c r="B49" s="393">
        <f>D15</f>
        <v>1147001.5286679086</v>
      </c>
      <c r="C49" s="389">
        <f t="dataTable" ref="C49:E49" dt2D="0" dtr="1" r1="C9" ca="1"/>
        <v>873406.56633941538</v>
      </c>
      <c r="D49" s="389">
        <v>1147001.5286679086</v>
      </c>
      <c r="E49" s="390">
        <v>1420596.4909964008</v>
      </c>
      <c r="F49" s="222"/>
      <c r="G49" s="371" t="s">
        <v>251</v>
      </c>
    </row>
    <row r="50" spans="2:10" ht="13.5" thickBot="1">
      <c r="B50" s="374" t="str">
        <f>B10</f>
        <v>Crecimiento</v>
      </c>
      <c r="C50" s="387">
        <f>E10</f>
        <v>0.9</v>
      </c>
      <c r="D50" s="387">
        <f>F10</f>
        <v>1</v>
      </c>
      <c r="E50" s="388">
        <f>G10</f>
        <v>1.05</v>
      </c>
      <c r="H50" s="371" t="str">
        <f>H41</f>
        <v>Pesimista</v>
      </c>
      <c r="I50" s="371" t="str">
        <f>I41</f>
        <v>Optimista</v>
      </c>
      <c r="J50" s="371" t="str">
        <f>J41</f>
        <v>Diferencia</v>
      </c>
    </row>
    <row r="51" spans="2:10">
      <c r="B51" s="393">
        <f>D15</f>
        <v>1147001.5286679086</v>
      </c>
      <c r="C51" s="389">
        <f t="dataTable" ref="C51:E51" dt2D="0" dtr="1" r1="C10" ca="1"/>
        <v>931142.74398262647</v>
      </c>
      <c r="D51" s="389">
        <v>1147001.5286679086</v>
      </c>
      <c r="E51" s="390">
        <v>1261962.8342919336</v>
      </c>
      <c r="F51" s="372"/>
      <c r="G51" s="144" t="str">
        <f ca="1">OFFSET(G$41,MATCH(1,$K$42:$K$47,0),0)</f>
        <v>Nivel de Actividad</v>
      </c>
      <c r="H51" s="378">
        <f ca="1">OFFSET(H$41,MATCH(1,$K$42:$K$47,0),0)</f>
        <v>-597709.47734467871</v>
      </c>
      <c r="I51" s="378">
        <f t="shared" ref="I51:J51" ca="1" si="5">OFFSET(I$41,MATCH(1,$K$42:$K$47,0),0)</f>
        <v>304146.06643359037</v>
      </c>
      <c r="J51" s="379">
        <f t="shared" ca="1" si="5"/>
        <v>901855.54377826909</v>
      </c>
    </row>
    <row r="52" spans="2:10">
      <c r="B52" s="374" t="str">
        <f>B11</f>
        <v>Subvenciones</v>
      </c>
      <c r="C52" s="387">
        <f>E11</f>
        <v>0.8</v>
      </c>
      <c r="D52" s="387">
        <f>F11</f>
        <v>1</v>
      </c>
      <c r="E52" s="388">
        <f>G11</f>
        <v>1.1000000000000001</v>
      </c>
      <c r="F52" s="372"/>
      <c r="G52" s="117" t="str">
        <f ca="1">OFFSET(G$41,MATCH(2,$K$42:$K$47,0),0)</f>
        <v>Precio</v>
      </c>
      <c r="H52" s="373">
        <f ca="1">OFFSET(H$41,MATCH(2,$K$42:$K$47,0),0)</f>
        <v>-300646.18323208741</v>
      </c>
      <c r="I52" s="373">
        <f t="shared" ref="I52:J52" ca="1" si="6">OFFSET(I$41,MATCH(2,$K$42:$K$47,0),0)</f>
        <v>304146.0664335913</v>
      </c>
      <c r="J52" s="375">
        <f t="shared" ca="1" si="6"/>
        <v>604792.24966567871</v>
      </c>
    </row>
    <row r="53" spans="2:10" ht="13.5" thickBot="1">
      <c r="B53" s="394">
        <f>D15</f>
        <v>1147001.5286679086</v>
      </c>
      <c r="C53" s="391">
        <f t="dataTable" ref="C53:E53" dt2D="0" dtr="1" r1="C11" ca="1"/>
        <v>1139894.378766679</v>
      </c>
      <c r="D53" s="391">
        <v>1147001.5286679086</v>
      </c>
      <c r="E53" s="392">
        <v>1150555.1036185231</v>
      </c>
      <c r="F53" s="372"/>
      <c r="G53" s="117" t="str">
        <f ca="1">OFFSET(G$41,MATCH(3,$K$42:$K$47,0),0)</f>
        <v>Costes</v>
      </c>
      <c r="H53" s="373">
        <f ca="1">OFFSET(H$41,MATCH(3,$K$42:$K$47,0),0)</f>
        <v>-273594.96232849325</v>
      </c>
      <c r="I53" s="373">
        <f t="shared" ref="I53:J53" ca="1" si="7">OFFSET(I$41,MATCH(3,$K$42:$K$47,0),0)</f>
        <v>273594.9623284922</v>
      </c>
      <c r="J53" s="375">
        <f t="shared" ca="1" si="7"/>
        <v>547189.92465698544</v>
      </c>
    </row>
    <row r="54" spans="2:10">
      <c r="F54" s="372"/>
      <c r="G54" s="117" t="str">
        <f ca="1">OFFSET(G$41,MATCH(4,$K$42:$K$47,0),0)</f>
        <v>Crecimiento</v>
      </c>
      <c r="H54" s="373">
        <f ca="1">OFFSET(H$41,MATCH(4,$K$42:$K$47,0),0)</f>
        <v>-215858.78468528215</v>
      </c>
      <c r="I54" s="373">
        <f t="shared" ref="I54:J54" ca="1" si="8">OFFSET(I$41,MATCH(4,$K$42:$K$47,0),0)</f>
        <v>114961.30562402494</v>
      </c>
      <c r="J54" s="375">
        <f t="shared" ca="1" si="8"/>
        <v>330820.0903093071</v>
      </c>
    </row>
    <row r="55" spans="2:10">
      <c r="F55" s="372"/>
      <c r="G55" s="117" t="str">
        <f ca="1">OFFSET(G$41,MATCH(5,$K$42:$K$47,0),0)</f>
        <v>Inversión</v>
      </c>
      <c r="H55" s="373">
        <f ca="1">OFFSET(H$41,MATCH(5,$K$42:$K$47,0),0)</f>
        <v>-84060.990641844459</v>
      </c>
      <c r="I55" s="373">
        <f t="shared" ref="I55:J55" ca="1" si="9">OFFSET(I$41,MATCH(5,$K$42:$K$47,0),0)</f>
        <v>84060.990641843993</v>
      </c>
      <c r="J55" s="375">
        <f t="shared" ca="1" si="9"/>
        <v>168121.98128368845</v>
      </c>
    </row>
    <row r="56" spans="2:10" ht="13.5" thickBot="1">
      <c r="F56" s="372"/>
      <c r="G56" s="120" t="str">
        <f ca="1">OFFSET(G$41,MATCH(6,$K$42:$K$47,0),0)</f>
        <v>Subvenciones</v>
      </c>
      <c r="H56" s="376">
        <f ca="1">OFFSET(H$41,MATCH(6,$K$42:$K$47,0),0)</f>
        <v>-7107.1499012296554</v>
      </c>
      <c r="I56" s="376">
        <f t="shared" ref="I56:J56" ca="1" si="10">OFFSET(I$41,MATCH(6,$K$42:$K$47,0),0)</f>
        <v>3553.5749506144784</v>
      </c>
      <c r="J56" s="377">
        <f t="shared" ca="1" si="10"/>
        <v>10660.724851844134</v>
      </c>
    </row>
  </sheetData>
  <phoneticPr fontId="4" type="noConversion"/>
  <dataValidations count="2">
    <dataValidation type="decimal" operator="greaterThan" allowBlank="1" showInputMessage="1" showErrorMessage="1" prompt="Introducir un porcentaje." sqref="E6:E11">
      <formula1>0</formula1>
    </dataValidation>
    <dataValidation type="decimal" operator="greaterThanOrEqual" allowBlank="1" showInputMessage="1" showErrorMessage="1" prompt="Introducir un porcentaje." sqref="G6:G11">
      <formula1>0</formula1>
    </dataValidation>
  </dataValidations>
  <printOptions headings="1"/>
  <pageMargins left="1.45" right="0.35433070866141736" top="0.65" bottom="0.78" header="0.25" footer="0.51181102362204722"/>
  <pageSetup paperSize="9" orientation="landscape" horizontalDpi="300" verticalDpi="300" r:id="rId1"/>
  <headerFooter alignWithMargins="0">
    <oddHeader>&amp;A</oddHeader>
    <oddFooter>&amp;C&amp;F&amp;R&amp;D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77" r:id="rId4" name="Button 21">
              <controlPr defaultSize="0" print="0" autoFill="0" autoPict="0">
                <anchor moveWithCells="1" sizeWithCells="1">
                  <from>
                    <xdr:col>2</xdr:col>
                    <xdr:colOff>809625</xdr:colOff>
                    <xdr:row>20</xdr:row>
                    <xdr:rowOff>38100</xdr:rowOff>
                  </from>
                  <to>
                    <xdr:col>5</xdr:col>
                    <xdr:colOff>971550</xdr:colOff>
                    <xdr:row>21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0">
    <pageSetUpPr autoPageBreaks="0"/>
  </sheetPr>
  <dimension ref="B1:J122"/>
  <sheetViews>
    <sheetView showGridLines="0" workbookViewId="0">
      <selection activeCell="K26" sqref="K26"/>
    </sheetView>
  </sheetViews>
  <sheetFormatPr baseColWidth="10" defaultRowHeight="11.25" outlineLevelRow="1"/>
  <cols>
    <col min="1" max="1" width="3.85546875" style="16" customWidth="1"/>
    <col min="2" max="2" width="31.7109375" style="16" customWidth="1"/>
    <col min="3" max="3" width="7.85546875" style="16" customWidth="1"/>
    <col min="4" max="10" width="9.5703125" style="16" customWidth="1"/>
    <col min="11" max="16384" width="11.42578125" style="16"/>
  </cols>
  <sheetData>
    <row r="1" spans="2:10" ht="12" thickBot="1">
      <c r="C1" s="356">
        <v>1</v>
      </c>
      <c r="H1" s="22"/>
    </row>
    <row r="2" spans="2:10">
      <c r="B2" s="121"/>
      <c r="C2" s="122"/>
      <c r="D2" s="122"/>
      <c r="E2" s="122"/>
      <c r="F2" s="78" t="str">
        <f>ESCENARIOS!C5</f>
        <v>Escenario  Base</v>
      </c>
      <c r="G2" s="78"/>
      <c r="H2" s="122"/>
      <c r="I2" s="122"/>
      <c r="J2" s="123"/>
    </row>
    <row r="3" spans="2:10">
      <c r="B3" s="216" t="s">
        <v>5</v>
      </c>
      <c r="C3" s="207"/>
      <c r="D3" s="207">
        <v>1</v>
      </c>
      <c r="E3" s="207">
        <f t="shared" ref="E3:J3" si="0">D3+1</f>
        <v>2</v>
      </c>
      <c r="F3" s="207">
        <f t="shared" si="0"/>
        <v>3</v>
      </c>
      <c r="G3" s="207">
        <f t="shared" si="0"/>
        <v>4</v>
      </c>
      <c r="H3" s="207">
        <f t="shared" si="0"/>
        <v>5</v>
      </c>
      <c r="I3" s="207">
        <f t="shared" si="0"/>
        <v>6</v>
      </c>
      <c r="J3" s="339">
        <f t="shared" si="0"/>
        <v>7</v>
      </c>
    </row>
    <row r="4" spans="2:10">
      <c r="B4" s="105"/>
      <c r="J4" s="124"/>
    </row>
    <row r="5" spans="2:10">
      <c r="B5" s="105" t="s">
        <v>14</v>
      </c>
      <c r="D5" s="38">
        <f>CTA.RES!C4</f>
        <v>506000</v>
      </c>
      <c r="E5" s="38">
        <f>CTA.RES!D4</f>
        <v>642259.875</v>
      </c>
      <c r="F5" s="38">
        <f>CTA.RES!E4</f>
        <v>805522.53996874997</v>
      </c>
      <c r="G5" s="38">
        <f>CTA.RES!F4</f>
        <v>1056336.378706547</v>
      </c>
      <c r="H5" s="38">
        <f>CTA.RES!G4</f>
        <v>1134633.566794585</v>
      </c>
      <c r="I5" s="38">
        <f>CTA.RES!H4</f>
        <v>1219228.7768335242</v>
      </c>
      <c r="J5" s="85">
        <f>CTA.RES!I4</f>
        <v>1300081.6027045192</v>
      </c>
    </row>
    <row r="6" spans="2:10">
      <c r="B6" s="105" t="s">
        <v>13</v>
      </c>
      <c r="D6" s="38">
        <f>CTA.RES!C7</f>
        <v>154920</v>
      </c>
      <c r="E6" s="38">
        <f>CTA.RES!D7</f>
        <v>204826.16</v>
      </c>
      <c r="F6" s="38">
        <f>CTA.RES!E7</f>
        <v>269557.32654000004</v>
      </c>
      <c r="G6" s="38">
        <f>CTA.RES!F7</f>
        <v>370705.02568922006</v>
      </c>
      <c r="H6" s="38">
        <f>CTA.RES!G7</f>
        <v>397032.18020578125</v>
      </c>
      <c r="I6" s="38">
        <f>CTA.RES!H7</f>
        <v>425414.28217872331</v>
      </c>
      <c r="J6" s="85">
        <f>CTA.RES!I7</f>
        <v>452757.823799034</v>
      </c>
    </row>
    <row r="7" spans="2:10">
      <c r="B7" s="105" t="s">
        <v>27</v>
      </c>
      <c r="D7" s="38">
        <f>D5-D6</f>
        <v>351080</v>
      </c>
      <c r="E7" s="38">
        <f t="shared" ref="E7:J7" si="1">E5-E6</f>
        <v>437433.71499999997</v>
      </c>
      <c r="F7" s="38">
        <f t="shared" si="1"/>
        <v>535965.21342874994</v>
      </c>
      <c r="G7" s="38">
        <f t="shared" si="1"/>
        <v>685631.35301732691</v>
      </c>
      <c r="H7" s="38">
        <f t="shared" si="1"/>
        <v>737601.38658880373</v>
      </c>
      <c r="I7" s="38">
        <f t="shared" si="1"/>
        <v>793814.49465480098</v>
      </c>
      <c r="J7" s="85">
        <f t="shared" si="1"/>
        <v>847323.77890548517</v>
      </c>
    </row>
    <row r="8" spans="2:10">
      <c r="B8" s="105" t="s">
        <v>9</v>
      </c>
      <c r="D8" s="38">
        <f>CTA.RES!C8+CTA.RES!C9</f>
        <v>293164.40000000002</v>
      </c>
      <c r="E8" s="38">
        <f>CTA.RES!D8+CTA.RES!D9</f>
        <v>365280.39999999997</v>
      </c>
      <c r="F8" s="38">
        <f>CTA.RES!E8+CTA.RES!E9</f>
        <v>463619.25874999992</v>
      </c>
      <c r="G8" s="38">
        <f>CTA.RES!F8+CTA.RES!F9</f>
        <v>492911.05146874994</v>
      </c>
      <c r="H8" s="38">
        <f>CTA.RES!G8+CTA.RES!G9</f>
        <v>540534.38874999981</v>
      </c>
      <c r="I8" s="38">
        <f>CTA.RES!H8+CTA.RES!H9</f>
        <v>544280.79383828118</v>
      </c>
      <c r="J8" s="85">
        <f>CTA.RES!I8+CTA.RES!I9</f>
        <v>507652.85905376938</v>
      </c>
    </row>
    <row r="9" spans="2:10">
      <c r="B9" s="105" t="s">
        <v>70</v>
      </c>
      <c r="D9" s="38">
        <f t="shared" ref="D9:J9" si="2">D8+D6</f>
        <v>448084.4</v>
      </c>
      <c r="E9" s="38">
        <f t="shared" si="2"/>
        <v>570106.55999999994</v>
      </c>
      <c r="F9" s="38">
        <f t="shared" si="2"/>
        <v>733176.58528999996</v>
      </c>
      <c r="G9" s="38">
        <f t="shared" si="2"/>
        <v>863616.07715797005</v>
      </c>
      <c r="H9" s="38">
        <f t="shared" si="2"/>
        <v>937566.56895578105</v>
      </c>
      <c r="I9" s="38">
        <f t="shared" si="2"/>
        <v>969695.07601700444</v>
      </c>
      <c r="J9" s="85">
        <f t="shared" si="2"/>
        <v>960410.68285280338</v>
      </c>
    </row>
    <row r="10" spans="2:10" s="15" customFormat="1" ht="12" thickBot="1">
      <c r="B10" s="96" t="s">
        <v>28</v>
      </c>
      <c r="C10" s="40"/>
      <c r="D10" s="41">
        <f t="shared" ref="D10:J10" si="3">D8/D7</f>
        <v>0.83503588925601013</v>
      </c>
      <c r="E10" s="41">
        <f t="shared" si="3"/>
        <v>0.8350531462806885</v>
      </c>
      <c r="F10" s="41">
        <f t="shared" si="3"/>
        <v>0.86501744354651566</v>
      </c>
      <c r="G10" s="41">
        <f t="shared" si="3"/>
        <v>0.71891556490167297</v>
      </c>
      <c r="H10" s="41">
        <f t="shared" si="3"/>
        <v>0.7328272405368127</v>
      </c>
      <c r="I10" s="41">
        <f t="shared" si="3"/>
        <v>0.68565237533860823</v>
      </c>
      <c r="J10" s="125">
        <f t="shared" si="3"/>
        <v>0.59912500002008751</v>
      </c>
    </row>
    <row r="11" spans="2:10" ht="12" thickTop="1">
      <c r="B11" s="126" t="s">
        <v>32</v>
      </c>
      <c r="C11" s="42"/>
      <c r="D11" s="43">
        <f t="shared" ref="D11:J11" si="4">D10*D5</f>
        <v>422528.15996354114</v>
      </c>
      <c r="E11" s="43">
        <f t="shared" si="4"/>
        <v>536321.12934859167</v>
      </c>
      <c r="F11" s="43">
        <f t="shared" si="4"/>
        <v>696791.04824286408</v>
      </c>
      <c r="G11" s="43">
        <f t="shared" si="4"/>
        <v>759416.66442400473</v>
      </c>
      <c r="H11" s="43">
        <f t="shared" si="4"/>
        <v>831490.38577451708</v>
      </c>
      <c r="I11" s="43">
        <f t="shared" si="4"/>
        <v>835967.10691709176</v>
      </c>
      <c r="J11" s="127">
        <f t="shared" si="4"/>
        <v>778911.39024646045</v>
      </c>
    </row>
    <row r="12" spans="2:10">
      <c r="B12" s="105"/>
      <c r="H12" s="38"/>
      <c r="J12" s="124"/>
    </row>
    <row r="13" spans="2:10" ht="12.75">
      <c r="B13" s="209" t="s">
        <v>128</v>
      </c>
      <c r="C13" s="204"/>
      <c r="H13" s="29" t="s">
        <v>45</v>
      </c>
      <c r="I13" s="355">
        <f>INPUTS!C100</f>
        <v>2</v>
      </c>
      <c r="J13" s="124"/>
    </row>
    <row r="14" spans="2:10">
      <c r="B14" s="105"/>
      <c r="J14" s="124"/>
    </row>
    <row r="15" spans="2:10">
      <c r="B15" s="69" t="s">
        <v>77</v>
      </c>
      <c r="C15" s="167"/>
      <c r="D15" s="356">
        <v>0.2</v>
      </c>
      <c r="E15" s="356">
        <v>0.4</v>
      </c>
      <c r="F15" s="356">
        <v>0.6</v>
      </c>
      <c r="G15" s="356">
        <v>0.8</v>
      </c>
      <c r="H15" s="356">
        <v>1</v>
      </c>
      <c r="I15" s="356">
        <v>1.2</v>
      </c>
      <c r="J15" s="357">
        <v>1.4</v>
      </c>
    </row>
    <row r="16" spans="2:10">
      <c r="B16" s="103" t="s">
        <v>26</v>
      </c>
      <c r="C16" s="192">
        <f ca="1">OFFSET(C5,0,$I$13-$D$3+1)</f>
        <v>642259.875</v>
      </c>
      <c r="D16" s="38">
        <f t="dataTable" ref="D16:J18" dt2D="0" dtr="1" r1="C1" ca="1"/>
        <v>118268.395</v>
      </c>
      <c r="E16" s="38">
        <v>241628.58000000002</v>
      </c>
      <c r="F16" s="38">
        <v>370080.55499999993</v>
      </c>
      <c r="G16" s="38">
        <v>503624.32</v>
      </c>
      <c r="H16" s="38">
        <v>642259.875</v>
      </c>
      <c r="I16" s="38">
        <v>785987.21999999986</v>
      </c>
      <c r="J16" s="85">
        <v>934806.35499999986</v>
      </c>
    </row>
    <row r="17" spans="2:10">
      <c r="B17" s="103" t="s">
        <v>9</v>
      </c>
      <c r="C17" s="192">
        <f ca="1">OFFSET(C8,0,$I$13-$D$3+1)</f>
        <v>365280.39999999997</v>
      </c>
      <c r="D17" s="38">
        <v>365280.39999999997</v>
      </c>
      <c r="E17" s="38">
        <v>365280.39999999997</v>
      </c>
      <c r="F17" s="38">
        <v>365280.39999999997</v>
      </c>
      <c r="G17" s="38">
        <v>365280.39999999997</v>
      </c>
      <c r="H17" s="38">
        <v>365280.39999999997</v>
      </c>
      <c r="I17" s="38">
        <v>365280.39999999997</v>
      </c>
      <c r="J17" s="85">
        <v>365280.39999999997</v>
      </c>
    </row>
    <row r="18" spans="2:10">
      <c r="B18" s="103" t="s">
        <v>70</v>
      </c>
      <c r="C18" s="192">
        <f ca="1">OFFSET(C9,0,$I$13-$D$3+1)</f>
        <v>570106.55999999994</v>
      </c>
      <c r="D18" s="38">
        <v>402986.88639999996</v>
      </c>
      <c r="E18" s="38">
        <v>442322.74559999997</v>
      </c>
      <c r="F18" s="38">
        <v>483287.97759999998</v>
      </c>
      <c r="G18" s="38">
        <v>525882.58239999996</v>
      </c>
      <c r="H18" s="38">
        <v>570106.55999999994</v>
      </c>
      <c r="I18" s="38">
        <v>615959.91039999994</v>
      </c>
      <c r="J18" s="85">
        <v>663442.63359999994</v>
      </c>
    </row>
    <row r="19" spans="2:10">
      <c r="B19" s="105"/>
      <c r="J19" s="124"/>
    </row>
    <row r="20" spans="2:10">
      <c r="B20" s="105"/>
      <c r="J20" s="124"/>
    </row>
    <row r="21" spans="2:10">
      <c r="B21" s="105"/>
      <c r="J21" s="124"/>
    </row>
    <row r="22" spans="2:10">
      <c r="B22" s="105"/>
      <c r="J22" s="124"/>
    </row>
    <row r="23" spans="2:10">
      <c r="B23" s="105"/>
      <c r="J23" s="124"/>
    </row>
    <row r="24" spans="2:10">
      <c r="B24" s="105"/>
      <c r="J24" s="124"/>
    </row>
    <row r="25" spans="2:10">
      <c r="B25" s="105"/>
      <c r="J25" s="124"/>
    </row>
    <row r="26" spans="2:10">
      <c r="B26" s="105"/>
      <c r="J26" s="124"/>
    </row>
    <row r="27" spans="2:10">
      <c r="B27" s="105"/>
      <c r="J27" s="124"/>
    </row>
    <row r="28" spans="2:10">
      <c r="B28" s="105"/>
      <c r="J28" s="124"/>
    </row>
    <row r="29" spans="2:10">
      <c r="B29" s="105"/>
      <c r="J29" s="124"/>
    </row>
    <row r="30" spans="2:10">
      <c r="B30" s="105"/>
      <c r="J30" s="124"/>
    </row>
    <row r="31" spans="2:10">
      <c r="B31" s="105"/>
      <c r="J31" s="124"/>
    </row>
    <row r="32" spans="2:10">
      <c r="B32" s="105"/>
      <c r="J32" s="124"/>
    </row>
    <row r="33" spans="2:10">
      <c r="B33" s="105"/>
      <c r="J33" s="124"/>
    </row>
    <row r="34" spans="2:10">
      <c r="B34" s="105"/>
      <c r="J34" s="124"/>
    </row>
    <row r="35" spans="2:10">
      <c r="B35" s="105"/>
      <c r="J35" s="124"/>
    </row>
    <row r="36" spans="2:10" ht="12" thickBot="1">
      <c r="B36" s="128"/>
      <c r="C36" s="129"/>
      <c r="D36" s="129"/>
      <c r="E36" s="129"/>
      <c r="F36" s="129"/>
      <c r="G36" s="129"/>
      <c r="H36" s="129"/>
      <c r="I36" s="129"/>
      <c r="J36" s="130"/>
    </row>
    <row r="38" spans="2:10">
      <c r="B38" s="52" t="str">
        <f>INCO!B63</f>
        <v>Linea A</v>
      </c>
      <c r="C38" s="52"/>
      <c r="D38" s="36"/>
      <c r="E38" s="37"/>
      <c r="F38" s="36"/>
      <c r="G38" s="36"/>
      <c r="H38" s="36"/>
      <c r="I38" s="36"/>
      <c r="J38" s="36"/>
    </row>
    <row r="39" spans="2:10" outlineLevel="1">
      <c r="B39" s="16" t="s">
        <v>26</v>
      </c>
      <c r="D39" s="38">
        <f>INCO!D12</f>
        <v>350000</v>
      </c>
      <c r="E39" s="38">
        <f>INCO!E12</f>
        <v>394625</v>
      </c>
      <c r="F39" s="38">
        <f>INCO!F12</f>
        <v>444939.68750000006</v>
      </c>
      <c r="G39" s="38">
        <f>INCO!G12</f>
        <v>501669.49765625014</v>
      </c>
      <c r="H39" s="38">
        <f>INCO!H12</f>
        <v>539921.79685253918</v>
      </c>
      <c r="I39" s="38">
        <f>INCO!I12</f>
        <v>581090.8338625452</v>
      </c>
      <c r="J39" s="38">
        <f>INCO!J12</f>
        <v>619442.82889747329</v>
      </c>
    </row>
    <row r="40" spans="2:10" outlineLevel="1">
      <c r="B40" s="16" t="s">
        <v>13</v>
      </c>
      <c r="D40" s="38">
        <f>INCO!D63</f>
        <v>105000</v>
      </c>
      <c r="E40" s="38">
        <f>INCO!E63</f>
        <v>118387.5</v>
      </c>
      <c r="F40" s="38">
        <f>INCO!F63</f>
        <v>133481.90625</v>
      </c>
      <c r="G40" s="38">
        <f>INCO!G63</f>
        <v>150500.84929687507</v>
      </c>
      <c r="H40" s="38">
        <f>INCO!H63</f>
        <v>161976.53905576176</v>
      </c>
      <c r="I40" s="38">
        <f>INCO!I63</f>
        <v>174327.25015876358</v>
      </c>
      <c r="J40" s="38">
        <f>INCO!J63</f>
        <v>185832.848669242</v>
      </c>
    </row>
    <row r="41" spans="2:10" outlineLevel="1">
      <c r="B41" s="16" t="s">
        <v>27</v>
      </c>
      <c r="D41" s="38">
        <f>D39-D40</f>
        <v>245000</v>
      </c>
      <c r="E41" s="38">
        <f t="shared" ref="E41:J41" si="5">E39-E40</f>
        <v>276237.5</v>
      </c>
      <c r="F41" s="38">
        <f t="shared" si="5"/>
        <v>311457.78125000006</v>
      </c>
      <c r="G41" s="38">
        <f t="shared" si="5"/>
        <v>351168.64835937507</v>
      </c>
      <c r="H41" s="38">
        <f t="shared" si="5"/>
        <v>377945.25779677741</v>
      </c>
      <c r="I41" s="38">
        <f t="shared" si="5"/>
        <v>406763.58370378159</v>
      </c>
      <c r="J41" s="38">
        <f t="shared" si="5"/>
        <v>433609.98022823129</v>
      </c>
    </row>
    <row r="42" spans="2:10" outlineLevel="1">
      <c r="B42" s="16" t="s">
        <v>150</v>
      </c>
      <c r="D42" s="38">
        <f t="shared" ref="D42:J42" si="6">D8*(D39/D5)</f>
        <v>202781.6996047431</v>
      </c>
      <c r="E42" s="38">
        <f t="shared" si="6"/>
        <v>224439.95563322396</v>
      </c>
      <c r="F42" s="38">
        <f t="shared" si="6"/>
        <v>256085.45741651044</v>
      </c>
      <c r="G42" s="38">
        <f t="shared" si="6"/>
        <v>234090.62166573026</v>
      </c>
      <c r="H42" s="38">
        <f t="shared" si="6"/>
        <v>257216.34453224752</v>
      </c>
      <c r="I42" s="38">
        <f t="shared" si="6"/>
        <v>259407.08286779543</v>
      </c>
      <c r="J42" s="38">
        <f t="shared" si="6"/>
        <v>241878.60397069834</v>
      </c>
    </row>
    <row r="43" spans="2:10" outlineLevel="1">
      <c r="B43" s="42" t="s">
        <v>60</v>
      </c>
      <c r="C43" s="42"/>
      <c r="D43" s="46">
        <f>D42/D41</f>
        <v>0.82768040654997188</v>
      </c>
      <c r="E43" s="46">
        <f t="shared" ref="E43:J43" si="7">E42/E41</f>
        <v>0.81248909229638977</v>
      </c>
      <c r="F43" s="46">
        <f t="shared" si="7"/>
        <v>0.82221563509744677</v>
      </c>
      <c r="G43" s="46">
        <f t="shared" si="7"/>
        <v>0.6666045581215132</v>
      </c>
      <c r="H43" s="46">
        <f t="shared" si="7"/>
        <v>0.68056507979934411</v>
      </c>
      <c r="I43" s="46">
        <f t="shared" si="7"/>
        <v>0.63773428414059818</v>
      </c>
      <c r="J43" s="46">
        <f t="shared" si="7"/>
        <v>0.55782526925091802</v>
      </c>
    </row>
    <row r="44" spans="2:10" outlineLevel="1">
      <c r="B44" s="44" t="s">
        <v>32</v>
      </c>
      <c r="C44" s="44"/>
      <c r="D44" s="45">
        <f t="shared" ref="D44:J44" si="8">D43*D39</f>
        <v>289688.14229249017</v>
      </c>
      <c r="E44" s="45">
        <f t="shared" si="8"/>
        <v>320628.50804746279</v>
      </c>
      <c r="F44" s="45">
        <f t="shared" si="8"/>
        <v>365836.36773787206</v>
      </c>
      <c r="G44" s="45">
        <f t="shared" si="8"/>
        <v>334415.17380818614</v>
      </c>
      <c r="H44" s="45">
        <f t="shared" si="8"/>
        <v>367451.92076035356</v>
      </c>
      <c r="I44" s="45">
        <f t="shared" si="8"/>
        <v>370581.54695399356</v>
      </c>
      <c r="J44" s="45">
        <f t="shared" si="8"/>
        <v>345540.86281528336</v>
      </c>
    </row>
    <row r="45" spans="2:10">
      <c r="D45" s="38"/>
      <c r="E45" s="38"/>
      <c r="F45" s="38"/>
      <c r="G45" s="38"/>
      <c r="H45" s="38"/>
      <c r="I45" s="38"/>
      <c r="J45" s="38"/>
    </row>
    <row r="46" spans="2:10">
      <c r="B46" s="52" t="str">
        <f>INCO!B68</f>
        <v>Linea B</v>
      </c>
      <c r="C46" s="52"/>
      <c r="D46" s="36"/>
      <c r="E46" s="37"/>
      <c r="F46" s="36"/>
      <c r="G46" s="36"/>
      <c r="H46" s="36"/>
      <c r="I46" s="36"/>
      <c r="J46" s="36"/>
    </row>
    <row r="47" spans="2:10" outlineLevel="1">
      <c r="B47" s="16" t="s">
        <v>26</v>
      </c>
      <c r="D47" s="38">
        <f>INCO!D18</f>
        <v>110000</v>
      </c>
      <c r="E47" s="38">
        <f>INCO!E18</f>
        <v>124024.99999999999</v>
      </c>
      <c r="F47" s="38">
        <f>INCO!F18</f>
        <v>139838.1875</v>
      </c>
      <c r="G47" s="38">
        <f>INCO!G18</f>
        <v>150500.84929687498</v>
      </c>
      <c r="H47" s="38">
        <f>INCO!H18</f>
        <v>161976.53905576168</v>
      </c>
      <c r="I47" s="38">
        <f>INCO!I18</f>
        <v>174327.25015876352</v>
      </c>
      <c r="J47" s="38">
        <f>INCO!J18</f>
        <v>185832.84866924191</v>
      </c>
    </row>
    <row r="48" spans="2:10" outlineLevel="1">
      <c r="B48" s="16" t="s">
        <v>13</v>
      </c>
      <c r="D48" s="38">
        <f>INCO!D68</f>
        <v>35200</v>
      </c>
      <c r="E48" s="38">
        <f>INCO!E68</f>
        <v>39687.999999999993</v>
      </c>
      <c r="F48" s="38">
        <f>INCO!F68</f>
        <v>44748.22</v>
      </c>
      <c r="G48" s="38">
        <f>INCO!G68</f>
        <v>48160.271775000001</v>
      </c>
      <c r="H48" s="38">
        <f>INCO!H68</f>
        <v>51832.492497843734</v>
      </c>
      <c r="I48" s="38">
        <f>INCO!I68</f>
        <v>55784.720050804324</v>
      </c>
      <c r="J48" s="38">
        <f>INCO!J68</f>
        <v>59466.511574157412</v>
      </c>
    </row>
    <row r="49" spans="2:10" outlineLevel="1">
      <c r="B49" s="16" t="s">
        <v>27</v>
      </c>
      <c r="D49" s="38">
        <f>D47-D48</f>
        <v>74800</v>
      </c>
      <c r="E49" s="38">
        <f t="shared" ref="E49:J49" si="9">E47-E48</f>
        <v>84337</v>
      </c>
      <c r="F49" s="38">
        <f t="shared" si="9"/>
        <v>95089.967499999999</v>
      </c>
      <c r="G49" s="38">
        <f t="shared" si="9"/>
        <v>102340.57752187498</v>
      </c>
      <c r="H49" s="38">
        <f t="shared" si="9"/>
        <v>110144.04655791794</v>
      </c>
      <c r="I49" s="38">
        <f t="shared" si="9"/>
        <v>118542.5301079592</v>
      </c>
      <c r="J49" s="38">
        <f t="shared" si="9"/>
        <v>126366.3370950845</v>
      </c>
    </row>
    <row r="50" spans="2:10" outlineLevel="1">
      <c r="B50" s="16" t="s">
        <v>150</v>
      </c>
      <c r="D50" s="38">
        <f t="shared" ref="D50:J50" si="10">D8*(D47/D5)</f>
        <v>63731.391304347831</v>
      </c>
      <c r="E50" s="38">
        <f t="shared" si="10"/>
        <v>70538.271770441817</v>
      </c>
      <c r="F50" s="38">
        <f t="shared" si="10"/>
        <v>80484.000902331827</v>
      </c>
      <c r="G50" s="38">
        <f t="shared" si="10"/>
        <v>70227.186499719042</v>
      </c>
      <c r="H50" s="38">
        <f t="shared" si="10"/>
        <v>77164.903359674223</v>
      </c>
      <c r="I50" s="38">
        <f t="shared" si="10"/>
        <v>77822.124860338605</v>
      </c>
      <c r="J50" s="38">
        <f t="shared" si="10"/>
        <v>72563.58119120948</v>
      </c>
    </row>
    <row r="51" spans="2:10" outlineLevel="1">
      <c r="B51" s="42" t="s">
        <v>60</v>
      </c>
      <c r="C51" s="42"/>
      <c r="D51" s="46">
        <f>D50/D49</f>
        <v>0.85202394791908864</v>
      </c>
      <c r="E51" s="46">
        <f t="shared" ref="E51:J51" si="11">E50/E49</f>
        <v>0.83638583030510705</v>
      </c>
      <c r="F51" s="46">
        <f t="shared" si="11"/>
        <v>0.84639844789443042</v>
      </c>
      <c r="G51" s="46">
        <f t="shared" si="11"/>
        <v>0.68621057453685175</v>
      </c>
      <c r="H51" s="46">
        <f t="shared" si="11"/>
        <v>0.70058169979344254</v>
      </c>
      <c r="I51" s="46">
        <f t="shared" si="11"/>
        <v>0.65649117485061559</v>
      </c>
      <c r="J51" s="46">
        <f t="shared" si="11"/>
        <v>0.57423189481712145</v>
      </c>
    </row>
    <row r="52" spans="2:10" outlineLevel="1">
      <c r="B52" s="44" t="s">
        <v>32</v>
      </c>
      <c r="C52" s="44"/>
      <c r="D52" s="45">
        <f t="shared" ref="D52:J52" si="12">D51*D47</f>
        <v>93722.634271099756</v>
      </c>
      <c r="E52" s="45">
        <f t="shared" si="12"/>
        <v>103732.7526035909</v>
      </c>
      <c r="F52" s="45">
        <f t="shared" si="12"/>
        <v>118358.82485637034</v>
      </c>
      <c r="G52" s="45">
        <f t="shared" si="12"/>
        <v>103275.27426429272</v>
      </c>
      <c r="H52" s="45">
        <f t="shared" si="12"/>
        <v>113477.79905834445</v>
      </c>
      <c r="I52" s="45">
        <f t="shared" si="12"/>
        <v>114444.30126520383</v>
      </c>
      <c r="J52" s="45">
        <f t="shared" si="12"/>
        <v>106711.14881060217</v>
      </c>
    </row>
    <row r="53" spans="2:10">
      <c r="D53" s="38"/>
      <c r="E53" s="38"/>
      <c r="F53" s="38"/>
      <c r="G53" s="38"/>
      <c r="H53" s="38"/>
      <c r="I53" s="38"/>
      <c r="J53" s="38"/>
    </row>
    <row r="54" spans="2:10">
      <c r="B54" s="64" t="str">
        <f>INCO!B73</f>
        <v>Linea C</v>
      </c>
      <c r="C54" s="64"/>
      <c r="D54" s="36"/>
      <c r="E54" s="37"/>
      <c r="F54" s="36"/>
      <c r="G54" s="36"/>
      <c r="H54" s="36"/>
      <c r="I54" s="36"/>
      <c r="J54" s="36"/>
    </row>
    <row r="55" spans="2:10" outlineLevel="1">
      <c r="B55" s="16" t="s">
        <v>26</v>
      </c>
      <c r="D55" s="38">
        <f>INCO!D24</f>
        <v>0</v>
      </c>
      <c r="E55" s="38">
        <f>INCO!E24</f>
        <v>59962.5</v>
      </c>
      <c r="F55" s="38">
        <f>INCO!F24</f>
        <v>67607.71875</v>
      </c>
      <c r="G55" s="38">
        <f>INCO!G24</f>
        <v>76227.702890625005</v>
      </c>
      <c r="H55" s="38">
        <f>INCO!H24</f>
        <v>80477.39732677734</v>
      </c>
      <c r="I55" s="38">
        <f>INCO!I24</f>
        <v>84964.012227745174</v>
      </c>
      <c r="J55" s="38">
        <f>INCO!J24</f>
        <v>89700.755909441985</v>
      </c>
    </row>
    <row r="56" spans="2:10" outlineLevel="1">
      <c r="B56" s="16" t="s">
        <v>13</v>
      </c>
      <c r="D56" s="38">
        <f>INCO!D73</f>
        <v>0</v>
      </c>
      <c r="E56" s="38">
        <f>INCO!E73</f>
        <v>26383.5</v>
      </c>
      <c r="F56" s="38">
        <f>INCO!F73</f>
        <v>29747.396250000002</v>
      </c>
      <c r="G56" s="38">
        <f>INCO!G73</f>
        <v>33540.189271875002</v>
      </c>
      <c r="H56" s="38">
        <f>INCO!H73</f>
        <v>35410.054823782033</v>
      </c>
      <c r="I56" s="38">
        <f>INCO!I73</f>
        <v>37384.16538020788</v>
      </c>
      <c r="J56" s="38">
        <f>INCO!J73</f>
        <v>39468.33260015447</v>
      </c>
    </row>
    <row r="57" spans="2:10" outlineLevel="1">
      <c r="B57" s="16" t="s">
        <v>27</v>
      </c>
      <c r="D57" s="38">
        <f>D55-D56</f>
        <v>0</v>
      </c>
      <c r="E57" s="38">
        <f t="shared" ref="E57:J57" si="13">E55-E56</f>
        <v>33579</v>
      </c>
      <c r="F57" s="38">
        <f t="shared" si="13"/>
        <v>37860.322499999995</v>
      </c>
      <c r="G57" s="38">
        <f t="shared" si="13"/>
        <v>42687.513618750003</v>
      </c>
      <c r="H57" s="38">
        <f t="shared" si="13"/>
        <v>45067.342502995307</v>
      </c>
      <c r="I57" s="38">
        <f t="shared" si="13"/>
        <v>47579.846847537294</v>
      </c>
      <c r="J57" s="38">
        <f t="shared" si="13"/>
        <v>50232.423309287515</v>
      </c>
    </row>
    <row r="58" spans="2:10" outlineLevel="1">
      <c r="B58" s="16" t="s">
        <v>150</v>
      </c>
      <c r="D58" s="38">
        <f t="shared" ref="D58:J58" si="14">D8*(D55/D5)</f>
        <v>0</v>
      </c>
      <c r="E58" s="38">
        <f t="shared" si="14"/>
        <v>34103.214037775593</v>
      </c>
      <c r="F58" s="38">
        <f t="shared" si="14"/>
        <v>38911.686386664565</v>
      </c>
      <c r="G58" s="38">
        <f t="shared" si="14"/>
        <v>35569.613941416152</v>
      </c>
      <c r="H58" s="38">
        <f t="shared" si="14"/>
        <v>38339.074433619222</v>
      </c>
      <c r="I58" s="38">
        <f t="shared" si="14"/>
        <v>37929.124461041865</v>
      </c>
      <c r="J58" s="38">
        <f t="shared" si="14"/>
        <v>35026.143822036742</v>
      </c>
    </row>
    <row r="59" spans="2:10" outlineLevel="1">
      <c r="B59" s="42" t="s">
        <v>60</v>
      </c>
      <c r="C59" s="42"/>
      <c r="D59" s="46" t="e">
        <f>D58/D57</f>
        <v>#DIV/0!</v>
      </c>
      <c r="E59" s="46">
        <f t="shared" ref="E59:J59" si="15">E58/E57</f>
        <v>1.0156113653704872</v>
      </c>
      <c r="F59" s="46">
        <f t="shared" si="15"/>
        <v>1.0277695438718086</v>
      </c>
      <c r="G59" s="46">
        <f t="shared" si="15"/>
        <v>0.83325569765189145</v>
      </c>
      <c r="H59" s="46">
        <f t="shared" si="15"/>
        <v>0.85070634974918025</v>
      </c>
      <c r="I59" s="46">
        <f t="shared" si="15"/>
        <v>0.79716785517574773</v>
      </c>
      <c r="J59" s="46">
        <f t="shared" si="15"/>
        <v>0.69728158656364736</v>
      </c>
    </row>
    <row r="60" spans="2:10" outlineLevel="1">
      <c r="B60" s="44" t="s">
        <v>32</v>
      </c>
      <c r="C60" s="44"/>
      <c r="D60" s="45" t="e">
        <f t="shared" ref="D60:J60" si="16">D59*D55</f>
        <v>#DIV/0!</v>
      </c>
      <c r="E60" s="45">
        <f t="shared" si="16"/>
        <v>60898.596496027843</v>
      </c>
      <c r="F60" s="45">
        <f t="shared" si="16"/>
        <v>69485.154261901029</v>
      </c>
      <c r="G60" s="45">
        <f t="shared" si="16"/>
        <v>63517.16775252884</v>
      </c>
      <c r="H60" s="45">
        <f t="shared" si="16"/>
        <v>68462.632917177194</v>
      </c>
      <c r="I60" s="45">
        <f t="shared" si="16"/>
        <v>67730.579394717628</v>
      </c>
      <c r="J60" s="45">
        <f t="shared" si="16"/>
        <v>62546.685396494177</v>
      </c>
    </row>
    <row r="61" spans="2:10">
      <c r="D61" s="38"/>
      <c r="E61" s="38"/>
      <c r="F61" s="38"/>
      <c r="G61" s="38"/>
      <c r="H61" s="38"/>
      <c r="I61" s="38"/>
      <c r="J61" s="38"/>
    </row>
    <row r="62" spans="2:10">
      <c r="B62" s="52" t="str">
        <f>INCO!B78</f>
        <v>Linea D</v>
      </c>
      <c r="C62" s="52"/>
      <c r="D62" s="36"/>
      <c r="E62" s="37"/>
      <c r="F62" s="36"/>
      <c r="G62" s="36"/>
      <c r="H62" s="36"/>
      <c r="I62" s="36"/>
      <c r="J62" s="36"/>
    </row>
    <row r="63" spans="2:10" outlineLevel="1">
      <c r="B63" s="16" t="s">
        <v>26</v>
      </c>
      <c r="D63" s="38">
        <f>INCO!D30</f>
        <v>0</v>
      </c>
      <c r="E63" s="38">
        <f>INCO!E30</f>
        <v>0</v>
      </c>
      <c r="F63" s="38">
        <f>INCO!F30</f>
        <v>66189.375</v>
      </c>
      <c r="G63" s="38">
        <f>INCO!G30</f>
        <v>74628.520312499997</v>
      </c>
      <c r="H63" s="38">
        <f>INCO!H30</f>
        <v>78024.117986718746</v>
      </c>
      <c r="I63" s="38">
        <f>INCO!I30</f>
        <v>81574.215355114444</v>
      </c>
      <c r="J63" s="38">
        <f>INCO!J30</f>
        <v>85285.84215377213</v>
      </c>
    </row>
    <row r="64" spans="2:10" outlineLevel="1">
      <c r="B64" s="16" t="s">
        <v>13</v>
      </c>
      <c r="D64" s="38">
        <f>INCO!D78</f>
        <v>0</v>
      </c>
      <c r="E64" s="38">
        <f>INCO!E78</f>
        <v>0</v>
      </c>
      <c r="F64" s="38">
        <f>INCO!F78</f>
        <v>33756.581250000003</v>
      </c>
      <c r="G64" s="38">
        <f>INCO!G78</f>
        <v>38060.545359374999</v>
      </c>
      <c r="H64" s="38">
        <f>INCO!H78</f>
        <v>39792.300173226562</v>
      </c>
      <c r="I64" s="38">
        <f>INCO!I78</f>
        <v>41602.849831108368</v>
      </c>
      <c r="J64" s="38">
        <f>INCO!J78</f>
        <v>43495.779498423784</v>
      </c>
    </row>
    <row r="65" spans="2:10" outlineLevel="1">
      <c r="B65" s="16" t="s">
        <v>27</v>
      </c>
      <c r="D65" s="38">
        <f>D63-D64</f>
        <v>0</v>
      </c>
      <c r="E65" s="38">
        <f t="shared" ref="E65:J65" si="17">E63-E64</f>
        <v>0</v>
      </c>
      <c r="F65" s="38">
        <f t="shared" si="17"/>
        <v>32432.793749999997</v>
      </c>
      <c r="G65" s="38">
        <f t="shared" si="17"/>
        <v>36567.974953124998</v>
      </c>
      <c r="H65" s="38">
        <f t="shared" si="17"/>
        <v>38231.817813492184</v>
      </c>
      <c r="I65" s="38">
        <f t="shared" si="17"/>
        <v>39971.365524006076</v>
      </c>
      <c r="J65" s="38">
        <f t="shared" si="17"/>
        <v>41790.062655348345</v>
      </c>
    </row>
    <row r="66" spans="2:10" outlineLevel="1">
      <c r="B66" s="16" t="s">
        <v>150</v>
      </c>
      <c r="D66" s="38">
        <f t="shared" ref="D66:J66" si="18">D8*(D63/D5)</f>
        <v>0</v>
      </c>
      <c r="E66" s="38">
        <f t="shared" si="18"/>
        <v>0</v>
      </c>
      <c r="F66" s="38">
        <f t="shared" si="18"/>
        <v>38095.357301629643</v>
      </c>
      <c r="G66" s="38">
        <f t="shared" si="18"/>
        <v>34823.398264323499</v>
      </c>
      <c r="H66" s="38">
        <f t="shared" si="18"/>
        <v>37170.343058733284</v>
      </c>
      <c r="I66" s="38">
        <f t="shared" si="18"/>
        <v>36415.871683677426</v>
      </c>
      <c r="J66" s="38">
        <f t="shared" si="18"/>
        <v>33302.218503903467</v>
      </c>
    </row>
    <row r="67" spans="2:10" outlineLevel="1">
      <c r="B67" s="42" t="s">
        <v>60</v>
      </c>
      <c r="C67" s="42"/>
      <c r="D67" s="46" t="e">
        <f>D66/D65</f>
        <v>#DIV/0!</v>
      </c>
      <c r="E67" s="46" t="e">
        <f t="shared" ref="E67:J67" si="19">E66/E65</f>
        <v>#DIV/0!</v>
      </c>
      <c r="F67" s="46">
        <f t="shared" si="19"/>
        <v>1.174593764424924</v>
      </c>
      <c r="G67" s="46">
        <f t="shared" si="19"/>
        <v>0.95229222588787588</v>
      </c>
      <c r="H67" s="46">
        <f t="shared" si="19"/>
        <v>0.9722358282847775</v>
      </c>
      <c r="I67" s="46">
        <f t="shared" si="19"/>
        <v>0.9110489773437116</v>
      </c>
      <c r="J67" s="46">
        <f t="shared" si="19"/>
        <v>0.79689324178702581</v>
      </c>
    </row>
    <row r="68" spans="2:10" outlineLevel="1">
      <c r="B68" s="44" t="s">
        <v>32</v>
      </c>
      <c r="C68" s="44"/>
      <c r="D68" s="45" t="e">
        <f t="shared" ref="D68:J68" si="20">D67*D63</f>
        <v>#DIV/0!</v>
      </c>
      <c r="E68" s="45" t="e">
        <f t="shared" si="20"/>
        <v>#DIV/0!</v>
      </c>
      <c r="F68" s="45">
        <f t="shared" si="20"/>
        <v>77745.62714618296</v>
      </c>
      <c r="G68" s="45">
        <f t="shared" si="20"/>
        <v>71068.159723109187</v>
      </c>
      <c r="H68" s="45">
        <f t="shared" si="20"/>
        <v>75857.842977006701</v>
      </c>
      <c r="I68" s="45">
        <f t="shared" si="20"/>
        <v>74318.105476892713</v>
      </c>
      <c r="J68" s="45">
        <f t="shared" si="20"/>
        <v>67963.711232456058</v>
      </c>
    </row>
    <row r="70" spans="2:10">
      <c r="B70" s="52" t="str">
        <f>INCO!B35</f>
        <v>Linea E</v>
      </c>
      <c r="C70" s="52"/>
      <c r="D70" s="36"/>
      <c r="E70" s="37"/>
      <c r="F70" s="36"/>
      <c r="G70" s="36"/>
      <c r="H70" s="36"/>
      <c r="I70" s="36"/>
      <c r="J70" s="36"/>
    </row>
    <row r="71" spans="2:10" outlineLevel="1">
      <c r="B71" s="16" t="s">
        <v>26</v>
      </c>
      <c r="D71" s="38">
        <f>INCO!D36</f>
        <v>0</v>
      </c>
      <c r="E71" s="38">
        <f>INCO!E36</f>
        <v>0</v>
      </c>
      <c r="F71" s="38">
        <f>INCO!F36</f>
        <v>0</v>
      </c>
      <c r="G71" s="38">
        <f>INCO!G36</f>
        <v>129226.87499999999</v>
      </c>
      <c r="H71" s="38">
        <f>INCO!H36</f>
        <v>135106.69781249997</v>
      </c>
      <c r="I71" s="38">
        <f>INCO!I36</f>
        <v>141254.05256296872</v>
      </c>
      <c r="J71" s="38">
        <f>INCO!J36</f>
        <v>147681.11195458379</v>
      </c>
    </row>
    <row r="72" spans="2:10" outlineLevel="1">
      <c r="B72" s="16" t="s">
        <v>13</v>
      </c>
      <c r="D72" s="38">
        <f>INCO!D83</f>
        <v>0</v>
      </c>
      <c r="E72" s="38">
        <f>INCO!E83</f>
        <v>0</v>
      </c>
      <c r="F72" s="38">
        <f>INCO!F83</f>
        <v>0</v>
      </c>
      <c r="G72" s="38">
        <f>INCO!G83</f>
        <v>60736.631249999999</v>
      </c>
      <c r="H72" s="38">
        <f>INCO!H83</f>
        <v>63500.147971874991</v>
      </c>
      <c r="I72" s="38">
        <f>INCO!I83</f>
        <v>66389.404704595305</v>
      </c>
      <c r="J72" s="38">
        <f>INCO!J83</f>
        <v>69410.122618654379</v>
      </c>
    </row>
    <row r="73" spans="2:10" outlineLevel="1">
      <c r="B73" s="16" t="s">
        <v>27</v>
      </c>
      <c r="D73" s="38">
        <f t="shared" ref="D73:J73" si="21">D71-D72</f>
        <v>0</v>
      </c>
      <c r="E73" s="38">
        <f t="shared" si="21"/>
        <v>0</v>
      </c>
      <c r="F73" s="38">
        <f t="shared" si="21"/>
        <v>0</v>
      </c>
      <c r="G73" s="38">
        <f t="shared" si="21"/>
        <v>68490.243749999994</v>
      </c>
      <c r="H73" s="38">
        <f t="shared" si="21"/>
        <v>71606.549840624983</v>
      </c>
      <c r="I73" s="38">
        <f t="shared" si="21"/>
        <v>74864.647858373413</v>
      </c>
      <c r="J73" s="38">
        <f t="shared" si="21"/>
        <v>78270.989335929407</v>
      </c>
    </row>
    <row r="74" spans="2:10" outlineLevel="1">
      <c r="B74" s="16" t="s">
        <v>150</v>
      </c>
      <c r="D74" s="38">
        <f t="shared" ref="D74:J74" si="22">D8*(D71/D5)</f>
        <v>0</v>
      </c>
      <c r="E74" s="38">
        <f t="shared" si="22"/>
        <v>0</v>
      </c>
      <c r="F74" s="38">
        <f t="shared" si="22"/>
        <v>0</v>
      </c>
      <c r="G74" s="38">
        <f t="shared" si="22"/>
        <v>60300.256734759299</v>
      </c>
      <c r="H74" s="38">
        <f t="shared" si="22"/>
        <v>64364.230404732938</v>
      </c>
      <c r="I74" s="38">
        <f t="shared" si="22"/>
        <v>63057.786465242287</v>
      </c>
      <c r="J74" s="38">
        <f t="shared" si="22"/>
        <v>57666.179227538465</v>
      </c>
    </row>
    <row r="75" spans="2:10" outlineLevel="1">
      <c r="B75" s="42" t="s">
        <v>60</v>
      </c>
      <c r="C75" s="42"/>
      <c r="D75" s="46" t="e">
        <f>D74/D73</f>
        <v>#DIV/0!</v>
      </c>
      <c r="E75" s="46" t="e">
        <f t="shared" ref="E75:J75" si="23">E74/E73</f>
        <v>#DIV/0!</v>
      </c>
      <c r="F75" s="46" t="e">
        <f t="shared" si="23"/>
        <v>#DIV/0!</v>
      </c>
      <c r="G75" s="46">
        <f t="shared" si="23"/>
        <v>0.88042111450011162</v>
      </c>
      <c r="H75" s="46">
        <f t="shared" si="23"/>
        <v>0.8988595393576243</v>
      </c>
      <c r="I75" s="46">
        <f t="shared" si="23"/>
        <v>0.84229056395928059</v>
      </c>
      <c r="J75" s="46">
        <f t="shared" si="23"/>
        <v>0.73675035561441993</v>
      </c>
    </row>
    <row r="76" spans="2:10" ht="12" thickBot="1">
      <c r="B76" s="198" t="s">
        <v>32</v>
      </c>
      <c r="C76" s="198"/>
      <c r="D76" s="199" t="e">
        <f t="shared" ref="D76:J76" si="24">D75*D71</f>
        <v>#DIV/0!</v>
      </c>
      <c r="E76" s="199" t="e">
        <f t="shared" si="24"/>
        <v>#DIV/0!</v>
      </c>
      <c r="F76" s="199" t="e">
        <f t="shared" si="24"/>
        <v>#DIV/0!</v>
      </c>
      <c r="G76" s="199">
        <f t="shared" si="24"/>
        <v>113774.0693108666</v>
      </c>
      <c r="H76" s="199">
        <f t="shared" si="24"/>
        <v>121441.94415987347</v>
      </c>
      <c r="I76" s="199">
        <f t="shared" si="24"/>
        <v>118976.95559479679</v>
      </c>
      <c r="J76" s="199">
        <f t="shared" si="24"/>
        <v>108804.11175007257</v>
      </c>
    </row>
    <row r="77" spans="2:10" ht="12" thickTop="1"/>
    <row r="78" spans="2:10">
      <c r="B78" s="52" t="str">
        <f>INCO!B41</f>
        <v>Linea F</v>
      </c>
      <c r="C78" s="52"/>
      <c r="D78" s="36"/>
      <c r="E78" s="37"/>
      <c r="F78" s="36"/>
      <c r="G78" s="36"/>
      <c r="H78" s="36"/>
      <c r="I78" s="36"/>
      <c r="J78" s="36"/>
    </row>
    <row r="79" spans="2:10" outlineLevel="1">
      <c r="B79" s="16" t="s">
        <v>26</v>
      </c>
      <c r="D79" s="38">
        <f>INCO!D42</f>
        <v>46000</v>
      </c>
      <c r="E79" s="38">
        <f>INCO!E42</f>
        <v>63647.375000000007</v>
      </c>
      <c r="F79" s="38">
        <f>INCO!F42</f>
        <v>86947.571218750018</v>
      </c>
      <c r="G79" s="38">
        <f>INCO!G42</f>
        <v>124082.9335502969</v>
      </c>
      <c r="H79" s="38">
        <f>INCO!H42</f>
        <v>139127.01776028817</v>
      </c>
      <c r="I79" s="38">
        <f>INCO!I42</f>
        <v>156018.41266638719</v>
      </c>
      <c r="J79" s="38">
        <f>INCO!J42</f>
        <v>172138.21512000603</v>
      </c>
    </row>
    <row r="80" spans="2:10" outlineLevel="1">
      <c r="B80" s="16" t="s">
        <v>13</v>
      </c>
      <c r="D80" s="38">
        <f>INCO!D88</f>
        <v>14720</v>
      </c>
      <c r="E80" s="38">
        <f>INCO!E88</f>
        <v>20367.160000000003</v>
      </c>
      <c r="F80" s="38">
        <f>INCO!F88</f>
        <v>27823.222790000003</v>
      </c>
      <c r="G80" s="38">
        <f>INCO!G88</f>
        <v>39706.538736095004</v>
      </c>
      <c r="H80" s="38">
        <f>INCO!H88</f>
        <v>44520.645683292212</v>
      </c>
      <c r="I80" s="38">
        <f>INCO!I88</f>
        <v>49925.892053243893</v>
      </c>
      <c r="J80" s="38">
        <f>INCO!J88</f>
        <v>55084.228838401934</v>
      </c>
    </row>
    <row r="81" spans="2:10" outlineLevel="1">
      <c r="B81" s="16" t="s">
        <v>27</v>
      </c>
      <c r="D81" s="38">
        <f>D79-D80</f>
        <v>31280</v>
      </c>
      <c r="E81" s="38">
        <f t="shared" ref="E81:J81" si="25">E79-E80</f>
        <v>43280.215000000004</v>
      </c>
      <c r="F81" s="38">
        <f t="shared" si="25"/>
        <v>59124.348428750018</v>
      </c>
      <c r="G81" s="38">
        <f t="shared" si="25"/>
        <v>84376.394814201893</v>
      </c>
      <c r="H81" s="38">
        <f t="shared" si="25"/>
        <v>94606.372076995962</v>
      </c>
      <c r="I81" s="38">
        <f t="shared" si="25"/>
        <v>106092.52061314329</v>
      </c>
      <c r="J81" s="38">
        <f t="shared" si="25"/>
        <v>117053.9862816041</v>
      </c>
    </row>
    <row r="82" spans="2:10" outlineLevel="1">
      <c r="B82" s="16" t="s">
        <v>150</v>
      </c>
      <c r="D82" s="38">
        <f t="shared" ref="D82:J82" si="26">D8*(D79/D5)</f>
        <v>26651.309090909093</v>
      </c>
      <c r="E82" s="38">
        <f t="shared" si="26"/>
        <v>36198.958558558559</v>
      </c>
      <c r="F82" s="38">
        <f t="shared" si="26"/>
        <v>50042.756742863516</v>
      </c>
      <c r="G82" s="38">
        <f t="shared" si="26"/>
        <v>57899.974362801717</v>
      </c>
      <c r="H82" s="38">
        <f t="shared" si="26"/>
        <v>66279.492960992706</v>
      </c>
      <c r="I82" s="38">
        <f t="shared" si="26"/>
        <v>69648.803500185604</v>
      </c>
      <c r="J82" s="38">
        <f t="shared" si="26"/>
        <v>67216.132338382871</v>
      </c>
    </row>
    <row r="83" spans="2:10" outlineLevel="1">
      <c r="B83" s="42" t="s">
        <v>60</v>
      </c>
      <c r="C83" s="42"/>
      <c r="D83" s="46">
        <f>D82/D81</f>
        <v>0.85202394791908864</v>
      </c>
      <c r="E83" s="46">
        <f t="shared" ref="E83:J83" si="27">E82/E81</f>
        <v>0.83638583030510727</v>
      </c>
      <c r="F83" s="46">
        <f t="shared" si="27"/>
        <v>0.84639844789443031</v>
      </c>
      <c r="G83" s="46">
        <f t="shared" si="27"/>
        <v>0.68621057453685175</v>
      </c>
      <c r="H83" s="46">
        <f t="shared" si="27"/>
        <v>0.70058169979344254</v>
      </c>
      <c r="I83" s="46">
        <f t="shared" si="27"/>
        <v>0.6564911748506157</v>
      </c>
      <c r="J83" s="46">
        <f t="shared" si="27"/>
        <v>0.57423189481712156</v>
      </c>
    </row>
    <row r="84" spans="2:10" ht="12" thickBot="1">
      <c r="B84" s="198" t="s">
        <v>32</v>
      </c>
      <c r="C84" s="198"/>
      <c r="D84" s="199">
        <f t="shared" ref="D84:J84" si="28">D83*D79</f>
        <v>39193.101604278076</v>
      </c>
      <c r="E84" s="199">
        <f t="shared" si="28"/>
        <v>53233.762586115532</v>
      </c>
      <c r="F84" s="199">
        <f t="shared" si="28"/>
        <v>73592.289327740451</v>
      </c>
      <c r="G84" s="199">
        <f t="shared" si="28"/>
        <v>85147.021121767233</v>
      </c>
      <c r="H84" s="199">
        <f t="shared" si="28"/>
        <v>97469.842589695152</v>
      </c>
      <c r="I84" s="199">
        <f t="shared" si="28"/>
        <v>102424.71102968471</v>
      </c>
      <c r="J84" s="199">
        <f t="shared" si="28"/>
        <v>98847.253438798347</v>
      </c>
    </row>
    <row r="85" spans="2:10" ht="12" thickTop="1"/>
    <row r="92" spans="2:10">
      <c r="D92" s="38"/>
      <c r="E92" s="38"/>
      <c r="F92" s="38"/>
      <c r="G92" s="38"/>
      <c r="H92" s="38"/>
      <c r="I92" s="38"/>
      <c r="J92" s="38"/>
    </row>
    <row r="93" spans="2:10">
      <c r="B93" s="38"/>
      <c r="C93" s="38"/>
      <c r="D93" s="38"/>
      <c r="E93" s="38"/>
      <c r="F93" s="38"/>
      <c r="G93" s="38"/>
      <c r="H93" s="38"/>
      <c r="I93" s="38"/>
      <c r="J93" s="38"/>
    </row>
    <row r="94" spans="2:10">
      <c r="D94" s="38"/>
      <c r="E94" s="38"/>
      <c r="F94" s="38"/>
      <c r="G94" s="38"/>
      <c r="H94" s="38"/>
      <c r="I94" s="38"/>
      <c r="J94" s="38"/>
    </row>
    <row r="119" spans="2:10">
      <c r="B119" s="131"/>
      <c r="C119" s="131"/>
    </row>
    <row r="120" spans="2:10">
      <c r="D120" s="38"/>
      <c r="E120" s="38"/>
      <c r="F120" s="38"/>
      <c r="G120" s="38"/>
      <c r="H120" s="38"/>
      <c r="I120" s="38"/>
      <c r="J120" s="38"/>
    </row>
    <row r="121" spans="2:10">
      <c r="D121" s="38"/>
      <c r="E121" s="38"/>
      <c r="F121" s="38"/>
      <c r="G121" s="38"/>
      <c r="H121" s="38"/>
      <c r="I121" s="38"/>
      <c r="J121" s="38"/>
    </row>
    <row r="122" spans="2:10">
      <c r="D122" s="38"/>
      <c r="E122" s="38"/>
      <c r="F122" s="38"/>
      <c r="G122" s="38"/>
      <c r="H122" s="38"/>
      <c r="I122" s="38"/>
      <c r="J122" s="38"/>
    </row>
  </sheetData>
  <customSheetViews>
    <customSheetView guid="{D4D7EB24-CC17-11D2-866F-0020AFB54048}" showRuler="0">
      <selection activeCell="E14" sqref="E14"/>
      <pageMargins left="0.25" right="0.25" top="2.54" bottom="1" header="0.511811024" footer="0.511811024"/>
      <printOptions headings="1"/>
      <pageSetup paperSize="9" orientation="landscape" horizontalDpi="300" verticalDpi="300" r:id="rId1"/>
      <headerFooter alignWithMargins="0">
        <oddHeader>&amp;A</oddHeader>
        <oddFooter>&amp;LMODELEVA&amp;CDEPTO. ECONOMIA FINANCIERA&amp;RUNIVERSIDAD DE SANTIAGO</oddFooter>
      </headerFooter>
    </customSheetView>
    <customSheetView guid="{D4D7EB23-CC17-11D2-866F-0020AFB54048}" showRuler="0">
      <selection activeCell="E14" sqref="E14"/>
      <pageMargins left="0.25" right="0.25" top="2.54" bottom="1" header="0.511811024" footer="0.511811024"/>
      <printOptions headings="1"/>
      <pageSetup paperSize="9" orientation="landscape" horizontalDpi="300" verticalDpi="300" r:id="rId2"/>
      <headerFooter alignWithMargins="0">
        <oddHeader>&amp;A</oddHeader>
        <oddFooter>&amp;LMODELEVA&amp;CDEPTO. ECONOMIA FINANCIERA&amp;RUNIVERSIDAD DE SANTIAGO</oddFooter>
      </headerFooter>
    </customSheetView>
  </customSheetViews>
  <phoneticPr fontId="4" type="noConversion"/>
  <dataValidations count="1">
    <dataValidation type="list" allowBlank="1" showInputMessage="1" showErrorMessage="1" sqref="I13">
      <formula1>"1,2,3,4,5,6,7"</formula1>
    </dataValidation>
  </dataValidations>
  <hyperlinks>
    <hyperlink ref="B13" location="EQ!A65" display="VER EQUILIBRIO POR PRODUCTO"/>
  </hyperlinks>
  <printOptions headings="1"/>
  <pageMargins left="0.9055118110236221" right="0.35433070866141736" top="0.94488188976377963" bottom="0.98425196850393704" header="0.51181102362204722" footer="0.51181102362204722"/>
  <pageSetup paperSize="9" orientation="landscape" horizontalDpi="300" verticalDpi="300" r:id="rId3"/>
  <headerFooter alignWithMargins="0">
    <oddHeader>&amp;A</oddHeader>
    <oddFooter>&amp;C&amp;F&amp;R&amp;D</oddFooter>
  </headerFooter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63" r:id="rId6" name="Button 19">
              <controlPr defaultSize="0" print="0" autoFill="0" autoPict="0">
                <anchor moveWithCells="1" sizeWithCells="1">
                  <from>
                    <xdr:col>4</xdr:col>
                    <xdr:colOff>114300</xdr:colOff>
                    <xdr:row>11</xdr:row>
                    <xdr:rowOff>66675</xdr:rowOff>
                  </from>
                  <to>
                    <xdr:col>7</xdr:col>
                    <xdr:colOff>0</xdr:colOff>
                    <xdr:row>12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9</vt:i4>
      </vt:variant>
    </vt:vector>
  </HeadingPairs>
  <TitlesOfParts>
    <vt:vector size="20" baseType="lpstr">
      <vt:lpstr>INPUTS</vt:lpstr>
      <vt:lpstr>INV</vt:lpstr>
      <vt:lpstr>INCO</vt:lpstr>
      <vt:lpstr>CTA.RES</vt:lpstr>
      <vt:lpstr>BALANCE</vt:lpstr>
      <vt:lpstr>TES</vt:lpstr>
      <vt:lpstr>RENTAB</vt:lpstr>
      <vt:lpstr>ESCENARIOS</vt:lpstr>
      <vt:lpstr>EQ</vt:lpstr>
      <vt:lpstr>I +D</vt:lpstr>
      <vt:lpstr>Rondas de financiación</vt:lpstr>
      <vt:lpstr>BALANCE!Área_de_impresión</vt:lpstr>
      <vt:lpstr>CTA.RES!Área_de_impresión</vt:lpstr>
      <vt:lpstr>EQ!Área_de_impresión</vt:lpstr>
      <vt:lpstr>ESCENARIOS!Área_de_impresión</vt:lpstr>
      <vt:lpstr>INCO!Área_de_impresión</vt:lpstr>
      <vt:lpstr>INPUTS!Área_de_impresión</vt:lpstr>
      <vt:lpstr>INV!Área_de_impresión</vt:lpstr>
      <vt:lpstr>RENTAB!Área_de_impresión</vt:lpstr>
      <vt:lpstr>TES!Área_de_impresión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E.F</dc:creator>
  <cp:lastModifiedBy>Alfonso</cp:lastModifiedBy>
  <cp:lastPrinted>2009-04-03T09:43:47Z</cp:lastPrinted>
  <dcterms:created xsi:type="dcterms:W3CDTF">1996-12-11T11:49:25Z</dcterms:created>
  <dcterms:modified xsi:type="dcterms:W3CDTF">2012-10-08T10:36:12Z</dcterms:modified>
</cp:coreProperties>
</file>