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trlProps/ctrlProp1.xml" ContentType="application/vnd.ms-excel.controlpropertie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6.xml" ContentType="application/vnd.openxmlformats-officedocument.drawing+xml"/>
  <Override PartName="/xl/ctrlProps/ctrlProp2.xml" ContentType="application/vnd.ms-excel.controlproperties+xml"/>
  <Override PartName="/xl/comments6.xml" ContentType="application/vnd.openxmlformats-officedocument.spreadsheetml.comments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8532" yWindow="144" windowWidth="6852" windowHeight="8232" tabRatio="855"/>
  </bookViews>
  <sheets>
    <sheet name="INPUTS" sheetId="1" r:id="rId1"/>
    <sheet name="INVERSIONES" sheetId="2" r:id="rId2"/>
    <sheet name="INCO" sheetId="4" r:id="rId3"/>
    <sheet name="CTA.RES" sheetId="14" r:id="rId4"/>
    <sheet name="BALANCE" sheetId="11" r:id="rId5"/>
    <sheet name="TESORERIA" sheetId="10" r:id="rId6"/>
    <sheet name="RENTABILIDAD" sheetId="8" r:id="rId7"/>
    <sheet name="RIESGO" sheetId="15" r:id="rId8"/>
    <sheet name="EQUILIBRIO" sheetId="9" r:id="rId9"/>
  </sheets>
  <definedNames>
    <definedName name="_xlnm.Print_Area" localSheetId="4">BALANCE!$B$2:$K$29</definedName>
    <definedName name="_xlnm.Print_Area" localSheetId="3">CTA.RES!$B$2:$I$18</definedName>
    <definedName name="_xlnm.Print_Area" localSheetId="8">EQUILIBRIO!$B$3:$J$37</definedName>
    <definedName name="_xlnm.Print_Area" localSheetId="2">INCO!$B$8:$J$77</definedName>
    <definedName name="_xlnm.Print_Area" localSheetId="0">INPUTS!$B$14:$H$73</definedName>
    <definedName name="_xlnm.Print_Area" localSheetId="1">INVERSIONES!$B$2:$P$47</definedName>
    <definedName name="_xlnm.Print_Area" localSheetId="6">RENTABILIDAD!$B$3:$J$32</definedName>
    <definedName name="_xlnm.Print_Area" localSheetId="7">RIESGO!$B$2:$H$37</definedName>
    <definedName name="_xlnm.Print_Area" localSheetId="5">TESORERIA!$B$3:$J$30</definedName>
    <definedName name="solver_adj" localSheetId="0" hidden="1">INPUTS!$C$62</definedName>
    <definedName name="solver_lin" localSheetId="0" hidden="1">0</definedName>
    <definedName name="solver_num" localSheetId="0" hidden="1">0</definedName>
    <definedName name="solver_opt" localSheetId="0" hidden="1">INPUTS!#REF!</definedName>
    <definedName name="solver_typ" localSheetId="0" hidden="1">1</definedName>
    <definedName name="solver_val" localSheetId="0" hidden="1">0</definedName>
    <definedName name="wrn.uno." hidden="1">{#N/A,#N/A,FALSE,"REN"}</definedName>
    <definedName name="Z_D4D7EB23_CC17_11D2_866F_0020AFB54048_.wvu.PrintArea" localSheetId="8" hidden="1">EQUILIBRIO!$B$2:$J$39</definedName>
    <definedName name="Z_D4D7EB23_CC17_11D2_866F_0020AFB54048_.wvu.PrintArea" localSheetId="2" hidden="1">INCO!$A$6:$J$93</definedName>
    <definedName name="Z_D4D7EB23_CC17_11D2_866F_0020AFB54048_.wvu.PrintArea" localSheetId="0" hidden="1">INPUTS!$B$14:$F$73</definedName>
    <definedName name="Z_D4D7EB23_CC17_11D2_866F_0020AFB54048_.wvu.PrintArea" localSheetId="1" hidden="1">INVERSIONES!$B$2:$P$51</definedName>
    <definedName name="Z_D4D7EB23_CC17_11D2_866F_0020AFB54048_.wvu.PrintArea" localSheetId="6" hidden="1">RENTABILIDAD!$B$2:$J$32</definedName>
    <definedName name="Z_D4D7EB24_CC17_11D2_866F_0020AFB54048_.wvu.PrintArea" localSheetId="8" hidden="1">EQUILIBRIO!$B$2:$J$39</definedName>
    <definedName name="Z_D4D7EB24_CC17_11D2_866F_0020AFB54048_.wvu.PrintArea" localSheetId="2" hidden="1">INCO!$A$6:$J$93</definedName>
    <definedName name="Z_D4D7EB24_CC17_11D2_866F_0020AFB54048_.wvu.PrintArea" localSheetId="0" hidden="1">INPUTS!$B$14:$F$73</definedName>
    <definedName name="Z_D4D7EB24_CC17_11D2_866F_0020AFB54048_.wvu.PrintArea" localSheetId="1" hidden="1">INVERSIONES!$B$2:$P$51</definedName>
    <definedName name="Z_D4D7EB24_CC17_11D2_866F_0020AFB54048_.wvu.PrintArea" localSheetId="6" hidden="1">RENTABILIDAD!$B$2:$J$32</definedName>
  </definedNames>
  <calcPr calcId="145621"/>
  <customWorkbookViews>
    <customWorkbookView name="uno" guid="{D4D7EB23-CC17-11D2-866F-0020AFB54048}" maximized="1" windowWidth="796" windowHeight="438" tabRatio="863" activeSheetId="1"/>
    <customWorkbookView name="dos" guid="{D4D7EB24-CC17-11D2-866F-0020AFB54048}" maximized="1" windowWidth="796" windowHeight="438" tabRatio="863" activeSheetId="1"/>
  </customWorkbookViews>
</workbook>
</file>

<file path=xl/calcChain.xml><?xml version="1.0" encoding="utf-8"?>
<calcChain xmlns="http://schemas.openxmlformats.org/spreadsheetml/2006/main">
  <c r="C7" i="15" l="1"/>
  <c r="C12" i="15"/>
  <c r="C11" i="15"/>
  <c r="C10" i="15"/>
  <c r="C9" i="15"/>
  <c r="C8" i="15"/>
  <c r="C5" i="15"/>
  <c r="C3" i="8"/>
  <c r="D4" i="4" l="1"/>
  <c r="D3" i="11"/>
  <c r="C6" i="8" l="1"/>
  <c r="H15" i="9" l="1"/>
  <c r="B18" i="4" l="1"/>
  <c r="B24" i="4" s="1"/>
  <c r="B30" i="4" s="1"/>
  <c r="B19" i="4"/>
  <c r="B25" i="4" s="1"/>
  <c r="B31" i="4" s="1"/>
  <c r="B20" i="4"/>
  <c r="B26" i="4" s="1"/>
  <c r="B32" i="4" s="1"/>
  <c r="B37" i="4" s="1"/>
  <c r="B17" i="4"/>
  <c r="B23" i="4" s="1"/>
  <c r="B29" i="4" s="1"/>
  <c r="B35" i="4" s="1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B25" i="2" l="1"/>
  <c r="B4" i="2"/>
  <c r="D40" i="15" l="1"/>
  <c r="E40" i="15"/>
  <c r="D55" i="15" s="1"/>
  <c r="D64" i="15" s="1"/>
  <c r="C40" i="15"/>
  <c r="C55" i="15" s="1"/>
  <c r="C64" i="15" s="1"/>
  <c r="C6" i="15"/>
  <c r="E14" i="15"/>
  <c r="F14" i="15"/>
  <c r="D14" i="15"/>
  <c r="D51" i="15"/>
  <c r="D49" i="15"/>
  <c r="D47" i="15"/>
  <c r="D45" i="15"/>
  <c r="D43" i="15"/>
  <c r="D41" i="15"/>
  <c r="E64" i="15"/>
  <c r="B51" i="15"/>
  <c r="B61" i="15" s="1"/>
  <c r="B43" i="15"/>
  <c r="B57" i="15" s="1"/>
  <c r="B45" i="15"/>
  <c r="B58" i="15" s="1"/>
  <c r="B47" i="15"/>
  <c r="B59" i="15" s="1"/>
  <c r="B49" i="15"/>
  <c r="B60" i="15" s="1"/>
  <c r="B41" i="15"/>
  <c r="B56" i="15" s="1"/>
  <c r="F12" i="15"/>
  <c r="D12" i="15"/>
  <c r="C51" i="15" s="1"/>
  <c r="D72" i="1"/>
  <c r="E72" i="1" s="1"/>
  <c r="F72" i="1" s="1"/>
  <c r="G72" i="1" s="1"/>
  <c r="H72" i="1" s="1"/>
  <c r="I72" i="1" s="1"/>
  <c r="B35" i="2"/>
  <c r="C35" i="2"/>
  <c r="D35" i="2"/>
  <c r="E35" i="2"/>
  <c r="F35" i="2"/>
  <c r="C45" i="4"/>
  <c r="C46" i="4"/>
  <c r="C47" i="4"/>
  <c r="C48" i="4"/>
  <c r="C49" i="4"/>
  <c r="C50" i="4"/>
  <c r="C44" i="4"/>
  <c r="F8" i="15"/>
  <c r="E43" i="15" s="1"/>
  <c r="F9" i="15"/>
  <c r="E45" i="15" s="1"/>
  <c r="F10" i="15"/>
  <c r="E47" i="15" s="1"/>
  <c r="F11" i="15"/>
  <c r="E49" i="15" s="1"/>
  <c r="F7" i="15"/>
  <c r="E41" i="15" s="1"/>
  <c r="D8" i="15"/>
  <c r="C43" i="15" s="1"/>
  <c r="D9" i="15"/>
  <c r="C45" i="15" s="1"/>
  <c r="D10" i="15"/>
  <c r="C47" i="15" s="1"/>
  <c r="D11" i="15"/>
  <c r="C49" i="15" s="1"/>
  <c r="D7" i="15"/>
  <c r="C41" i="15" s="1"/>
  <c r="C4" i="8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48" i="8" s="1"/>
  <c r="B49" i="8" s="1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D25" i="10"/>
  <c r="C4" i="10"/>
  <c r="C13" i="2"/>
  <c r="D54" i="1"/>
  <c r="E54" i="1" s="1"/>
  <c r="F54" i="1" s="1"/>
  <c r="G54" i="1" s="1"/>
  <c r="H54" i="1" s="1"/>
  <c r="I54" i="1" s="1"/>
  <c r="B27" i="2"/>
  <c r="B28" i="2"/>
  <c r="B29" i="2"/>
  <c r="B30" i="2"/>
  <c r="B31" i="2"/>
  <c r="B32" i="2"/>
  <c r="B33" i="2"/>
  <c r="B34" i="2"/>
  <c r="B26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5" i="2"/>
  <c r="E5" i="2"/>
  <c r="F5" i="2"/>
  <c r="D5" i="2"/>
  <c r="D6" i="2"/>
  <c r="E6" i="2"/>
  <c r="F6" i="2"/>
  <c r="D7" i="2"/>
  <c r="E7" i="2"/>
  <c r="F7" i="2"/>
  <c r="D8" i="2"/>
  <c r="E8" i="2"/>
  <c r="F8" i="2"/>
  <c r="D9" i="2"/>
  <c r="E9" i="2"/>
  <c r="F9" i="2"/>
  <c r="D10" i="2"/>
  <c r="E10" i="2"/>
  <c r="F10" i="2"/>
  <c r="D11" i="2"/>
  <c r="F11" i="2"/>
  <c r="D12" i="2"/>
  <c r="F12" i="2"/>
  <c r="D13" i="2"/>
  <c r="F13" i="2"/>
  <c r="D14" i="2"/>
  <c r="F14" i="2"/>
  <c r="D15" i="2"/>
  <c r="F15" i="2"/>
  <c r="D16" i="2"/>
  <c r="F16" i="2"/>
  <c r="D17" i="2"/>
  <c r="F17" i="2"/>
  <c r="D18" i="2"/>
  <c r="F18" i="2"/>
  <c r="D19" i="2"/>
  <c r="F19" i="2"/>
  <c r="D20" i="2"/>
  <c r="F20" i="2"/>
  <c r="D21" i="2"/>
  <c r="F21" i="2"/>
  <c r="D22" i="2"/>
  <c r="F22" i="2"/>
  <c r="D23" i="2"/>
  <c r="F23" i="2"/>
  <c r="D24" i="2"/>
  <c r="F24" i="2"/>
  <c r="D26" i="2"/>
  <c r="E26" i="2"/>
  <c r="F26" i="2"/>
  <c r="D27" i="2"/>
  <c r="E27" i="2"/>
  <c r="F27" i="2"/>
  <c r="D28" i="2"/>
  <c r="E28" i="2"/>
  <c r="F28" i="2"/>
  <c r="D29" i="2"/>
  <c r="E29" i="2"/>
  <c r="F29" i="2"/>
  <c r="D30" i="2"/>
  <c r="E30" i="2"/>
  <c r="F30" i="2"/>
  <c r="D31" i="2"/>
  <c r="E31" i="2"/>
  <c r="F31" i="2"/>
  <c r="D32" i="2"/>
  <c r="E32" i="2"/>
  <c r="F32" i="2"/>
  <c r="D33" i="2"/>
  <c r="E33" i="2"/>
  <c r="F33" i="2"/>
  <c r="D34" i="2"/>
  <c r="E34" i="2"/>
  <c r="F34" i="2"/>
  <c r="C6" i="2"/>
  <c r="C7" i="2"/>
  <c r="C8" i="2"/>
  <c r="C9" i="2"/>
  <c r="C10" i="2"/>
  <c r="C11" i="2"/>
  <c r="C12" i="2"/>
  <c r="C14" i="2"/>
  <c r="C15" i="2"/>
  <c r="C16" i="2"/>
  <c r="C17" i="2"/>
  <c r="C18" i="2"/>
  <c r="C19" i="2"/>
  <c r="C20" i="2"/>
  <c r="C21" i="2"/>
  <c r="C22" i="2"/>
  <c r="C23" i="2"/>
  <c r="C24" i="2"/>
  <c r="C26" i="2"/>
  <c r="C27" i="2"/>
  <c r="C28" i="2"/>
  <c r="C29" i="2"/>
  <c r="C30" i="2"/>
  <c r="C31" i="2"/>
  <c r="C32" i="2"/>
  <c r="C33" i="2"/>
  <c r="C34" i="2"/>
  <c r="C5" i="2"/>
  <c r="D77" i="1"/>
  <c r="E77" i="1" s="1"/>
  <c r="F77" i="1" s="1"/>
  <c r="G77" i="1" s="1"/>
  <c r="H77" i="1" s="1"/>
  <c r="I77" i="1" s="1"/>
  <c r="D4" i="9"/>
  <c r="E4" i="9" s="1"/>
  <c r="F4" i="9" s="1"/>
  <c r="G4" i="9" s="1"/>
  <c r="H4" i="9" s="1"/>
  <c r="I4" i="9" s="1"/>
  <c r="C17" i="4"/>
  <c r="C52" i="2"/>
  <c r="D52" i="2" s="1"/>
  <c r="E52" i="2" s="1"/>
  <c r="F52" i="2" s="1"/>
  <c r="G52" i="2" s="1"/>
  <c r="H52" i="2" s="1"/>
  <c r="I52" i="2" s="1"/>
  <c r="J52" i="2" s="1"/>
  <c r="C10" i="8"/>
  <c r="C21" i="8" s="1"/>
  <c r="C3" i="10"/>
  <c r="D3" i="10"/>
  <c r="D82" i="4"/>
  <c r="C11" i="4"/>
  <c r="E14" i="4" a="1"/>
  <c r="H14" i="4" s="1"/>
  <c r="C6" i="4"/>
  <c r="D6" i="4" s="1"/>
  <c r="E20" i="4" a="1"/>
  <c r="G20" i="4" s="1"/>
  <c r="C23" i="4"/>
  <c r="E26" i="4" a="1"/>
  <c r="E26" i="4" s="1"/>
  <c r="C29" i="4"/>
  <c r="E32" i="4" a="1"/>
  <c r="I32" i="4" s="1"/>
  <c r="C35" i="4"/>
  <c r="E37" i="4" a="1"/>
  <c r="J37" i="4" s="1"/>
  <c r="D3" i="14"/>
  <c r="E3" i="14" s="1"/>
  <c r="F3" i="14" s="1"/>
  <c r="G3" i="14" s="1"/>
  <c r="H3" i="14" s="1"/>
  <c r="I3" i="14" s="1"/>
  <c r="B54" i="2"/>
  <c r="B53" i="2"/>
  <c r="B16" i="4"/>
  <c r="B60" i="4" s="1"/>
  <c r="B47" i="9" s="1"/>
  <c r="B22" i="4"/>
  <c r="B64" i="4" s="1"/>
  <c r="B55" i="9" s="1"/>
  <c r="B28" i="4"/>
  <c r="B68" i="4" s="1"/>
  <c r="B63" i="9" s="1"/>
  <c r="B34" i="4"/>
  <c r="B71" i="9" s="1"/>
  <c r="B10" i="4"/>
  <c r="B56" i="4" s="1"/>
  <c r="B39" i="9" s="1"/>
  <c r="B72" i="4"/>
  <c r="B21" i="8"/>
  <c r="D9" i="4"/>
  <c r="D43" i="4" s="1"/>
  <c r="D54" i="4" s="1"/>
  <c r="E4" i="4"/>
  <c r="E82" i="4" s="1"/>
  <c r="K3" i="2"/>
  <c r="L3" i="2" s="1"/>
  <c r="D10" i="8" l="1"/>
  <c r="D21" i="8" s="1"/>
  <c r="M3" i="2"/>
  <c r="E51" i="15"/>
  <c r="E3" i="11"/>
  <c r="E36" i="11" s="1"/>
  <c r="D36" i="11"/>
  <c r="F4" i="4"/>
  <c r="F9" i="4" s="1"/>
  <c r="F43" i="4" s="1"/>
  <c r="F54" i="4" s="1"/>
  <c r="E9" i="4"/>
  <c r="E43" i="4" s="1"/>
  <c r="E54" i="4" s="1"/>
  <c r="H53" i="2"/>
  <c r="G53" i="2"/>
  <c r="G57" i="2"/>
  <c r="G23" i="10" s="1"/>
  <c r="H19" i="10" s="1"/>
  <c r="H57" i="2"/>
  <c r="H23" i="10" s="1"/>
  <c r="I19" i="10" s="1"/>
  <c r="E7" i="4"/>
  <c r="E6" i="4"/>
  <c r="F6" i="4" s="1"/>
  <c r="G6" i="4" s="1"/>
  <c r="H6" i="4" s="1"/>
  <c r="I6" i="4" s="1"/>
  <c r="J6" i="4" s="1"/>
  <c r="K6" i="4" s="1"/>
  <c r="H20" i="4"/>
  <c r="J26" i="4"/>
  <c r="F20" i="4"/>
  <c r="F32" i="4"/>
  <c r="J32" i="4"/>
  <c r="I26" i="4"/>
  <c r="E20" i="4"/>
  <c r="H32" i="4"/>
  <c r="H26" i="4"/>
  <c r="G14" i="4"/>
  <c r="E14" i="4"/>
  <c r="G37" i="4"/>
  <c r="I14" i="4"/>
  <c r="I37" i="4"/>
  <c r="J20" i="4"/>
  <c r="F26" i="4"/>
  <c r="E37" i="4"/>
  <c r="G32" i="4"/>
  <c r="F37" i="4"/>
  <c r="H37" i="4"/>
  <c r="G26" i="4"/>
  <c r="J14" i="4"/>
  <c r="I20" i="4"/>
  <c r="E32" i="4"/>
  <c r="F14" i="4"/>
  <c r="E5" i="14"/>
  <c r="F5" i="10" s="1"/>
  <c r="C2" i="9"/>
  <c r="C4" i="4"/>
  <c r="D44" i="4" s="1"/>
  <c r="C2" i="4"/>
  <c r="C13" i="4" s="1"/>
  <c r="D13" i="4" s="1"/>
  <c r="G5" i="14"/>
  <c r="H5" i="10" s="1"/>
  <c r="C21" i="11"/>
  <c r="C38" i="11" s="1"/>
  <c r="C17" i="10" s="1"/>
  <c r="C26" i="8" s="1"/>
  <c r="F5" i="14"/>
  <c r="G5" i="10" s="1"/>
  <c r="C5" i="14"/>
  <c r="D5" i="10" s="1"/>
  <c r="C10" i="14"/>
  <c r="D10" i="14" s="1"/>
  <c r="E10" i="14" s="1"/>
  <c r="F10" i="14" s="1"/>
  <c r="H5" i="14"/>
  <c r="I5" i="10" s="1"/>
  <c r="I5" i="14"/>
  <c r="J5" i="10" s="1"/>
  <c r="H2" i="2"/>
  <c r="G34" i="2" s="1"/>
  <c r="C1" i="4"/>
  <c r="C12" i="4" s="1"/>
  <c r="E44" i="4" l="1"/>
  <c r="C57" i="4"/>
  <c r="E3" i="10"/>
  <c r="E10" i="8"/>
  <c r="E21" i="8" s="1"/>
  <c r="F3" i="11"/>
  <c r="F3" i="10" s="1"/>
  <c r="N3" i="2"/>
  <c r="F82" i="4"/>
  <c r="G4" i="4"/>
  <c r="G9" i="4" s="1"/>
  <c r="G43" i="4" s="1"/>
  <c r="G54" i="4" s="1"/>
  <c r="H12" i="11"/>
  <c r="G12" i="11"/>
  <c r="F7" i="4"/>
  <c r="G7" i="4" s="1"/>
  <c r="H7" i="4" s="1"/>
  <c r="I7" i="4" s="1"/>
  <c r="J7" i="4" s="1"/>
  <c r="K7" i="4" s="1"/>
  <c r="K12" i="4" s="1"/>
  <c r="D45" i="4"/>
  <c r="E45" i="4" s="1"/>
  <c r="C66" i="4"/>
  <c r="B3" i="2"/>
  <c r="F3" i="4" s="1"/>
  <c r="C75" i="4"/>
  <c r="C65" i="4"/>
  <c r="D46" i="4"/>
  <c r="E46" i="4" s="1"/>
  <c r="C67" i="4"/>
  <c r="C70" i="4"/>
  <c r="C59" i="4"/>
  <c r="C71" i="4"/>
  <c r="C62" i="4"/>
  <c r="C58" i="4"/>
  <c r="D49" i="4"/>
  <c r="E49" i="4" s="1"/>
  <c r="C73" i="4"/>
  <c r="C63" i="4"/>
  <c r="C69" i="4"/>
  <c r="C74" i="4"/>
  <c r="D48" i="4"/>
  <c r="E48" i="4" s="1"/>
  <c r="C61" i="4"/>
  <c r="D50" i="4"/>
  <c r="D47" i="4"/>
  <c r="E47" i="4" s="1"/>
  <c r="C2" i="14"/>
  <c r="C2" i="8"/>
  <c r="C2" i="10"/>
  <c r="C2" i="11"/>
  <c r="C25" i="4"/>
  <c r="C31" i="4"/>
  <c r="D31" i="4" s="1"/>
  <c r="C19" i="4"/>
  <c r="D19" i="4" s="1"/>
  <c r="D5" i="14"/>
  <c r="E5" i="10" s="1"/>
  <c r="G28" i="2"/>
  <c r="G24" i="2"/>
  <c r="H24" i="2" s="1"/>
  <c r="G8" i="2"/>
  <c r="J8" i="2" s="1"/>
  <c r="G23" i="2"/>
  <c r="G7" i="2"/>
  <c r="J7" i="2" s="1"/>
  <c r="G14" i="2"/>
  <c r="J14" i="2" s="1"/>
  <c r="K14" i="2" s="1"/>
  <c r="G27" i="2"/>
  <c r="G11" i="2"/>
  <c r="J11" i="2" s="1"/>
  <c r="G26" i="2"/>
  <c r="H26" i="2" s="1"/>
  <c r="G12" i="2"/>
  <c r="J12" i="2" s="1"/>
  <c r="G17" i="2"/>
  <c r="H17" i="2" s="1"/>
  <c r="G30" i="2"/>
  <c r="J30" i="2" s="1"/>
  <c r="G16" i="2"/>
  <c r="H16" i="2" s="1"/>
  <c r="G9" i="2"/>
  <c r="H9" i="2" s="1"/>
  <c r="G33" i="2"/>
  <c r="H33" i="2" s="1"/>
  <c r="G29" i="2"/>
  <c r="G6" i="2"/>
  <c r="J6" i="2" s="1"/>
  <c r="G32" i="2"/>
  <c r="H32" i="2" s="1"/>
  <c r="G18" i="2"/>
  <c r="J18" i="2" s="1"/>
  <c r="G20" i="2"/>
  <c r="H20" i="2" s="1"/>
  <c r="G21" i="2"/>
  <c r="H21" i="2" s="1"/>
  <c r="G31" i="2"/>
  <c r="J31" i="2" s="1"/>
  <c r="G13" i="2"/>
  <c r="G22" i="2"/>
  <c r="H22" i="2" s="1"/>
  <c r="G19" i="2"/>
  <c r="G5" i="2"/>
  <c r="G35" i="2"/>
  <c r="G15" i="2"/>
  <c r="H15" i="2" s="1"/>
  <c r="G10" i="2"/>
  <c r="D21" i="11"/>
  <c r="C24" i="4"/>
  <c r="C30" i="4"/>
  <c r="C18" i="4"/>
  <c r="D12" i="4"/>
  <c r="D11" i="4" s="1"/>
  <c r="E12" i="4"/>
  <c r="C36" i="4"/>
  <c r="D36" i="4" s="1"/>
  <c r="C3" i="4"/>
  <c r="K38" i="4" s="1"/>
  <c r="C5" i="8"/>
  <c r="C7" i="8" s="1"/>
  <c r="H34" i="2"/>
  <c r="J34" i="2"/>
  <c r="K34" i="2" s="1"/>
  <c r="L34" i="2" s="1"/>
  <c r="G10" i="14"/>
  <c r="H4" i="4" l="1"/>
  <c r="I4" i="4" s="1"/>
  <c r="E21" i="11"/>
  <c r="D38" i="11"/>
  <c r="G82" i="4"/>
  <c r="E33" i="4"/>
  <c r="E31" i="4" s="1"/>
  <c r="D25" i="4"/>
  <c r="E27" i="4" s="1"/>
  <c r="H28" i="2"/>
  <c r="J28" i="2"/>
  <c r="K28" i="2" s="1"/>
  <c r="F36" i="11"/>
  <c r="F10" i="8"/>
  <c r="F21" i="8" s="1"/>
  <c r="G3" i="11"/>
  <c r="G10" i="8" s="1"/>
  <c r="G21" i="8" s="1"/>
  <c r="E51" i="4"/>
  <c r="D52" i="4"/>
  <c r="C36" i="2" s="1"/>
  <c r="G36" i="2" s="1"/>
  <c r="O3" i="2"/>
  <c r="H9" i="4"/>
  <c r="H43" i="4" s="1"/>
  <c r="H54" i="4" s="1"/>
  <c r="F48" i="4"/>
  <c r="G48" i="4" s="1"/>
  <c r="H48" i="4" s="1"/>
  <c r="I48" i="4" s="1"/>
  <c r="J48" i="4" s="1"/>
  <c r="K48" i="4" s="1"/>
  <c r="H35" i="2"/>
  <c r="J35" i="2"/>
  <c r="K35" i="2" s="1"/>
  <c r="H29" i="2"/>
  <c r="J29" i="2"/>
  <c r="K29" i="2" s="1"/>
  <c r="L29" i="2" s="1"/>
  <c r="M29" i="2" s="1"/>
  <c r="N29" i="2" s="1"/>
  <c r="O29" i="2" s="1"/>
  <c r="J23" i="2"/>
  <c r="K23" i="2" s="1"/>
  <c r="H19" i="2"/>
  <c r="J19" i="2"/>
  <c r="K19" i="2" s="1"/>
  <c r="L19" i="2" s="1"/>
  <c r="M19" i="2" s="1"/>
  <c r="H13" i="2"/>
  <c r="J13" i="2"/>
  <c r="K13" i="2" s="1"/>
  <c r="L13" i="2" s="1"/>
  <c r="M13" i="2" s="1"/>
  <c r="J10" i="2"/>
  <c r="K10" i="2" s="1"/>
  <c r="F53" i="2"/>
  <c r="K8" i="2"/>
  <c r="L8" i="2" s="1"/>
  <c r="J5" i="2"/>
  <c r="K5" i="2" s="1"/>
  <c r="L5" i="2" s="1"/>
  <c r="M5" i="2" s="1"/>
  <c r="N5" i="2" s="1"/>
  <c r="I53" i="2"/>
  <c r="J53" i="2"/>
  <c r="I12" i="4"/>
  <c r="I18" i="4"/>
  <c r="K7" i="2"/>
  <c r="L7" i="2" s="1"/>
  <c r="M7" i="2" s="1"/>
  <c r="N7" i="2" s="1"/>
  <c r="F47" i="4"/>
  <c r="G47" i="4" s="1"/>
  <c r="H47" i="4" s="1"/>
  <c r="I47" i="4" s="1"/>
  <c r="J47" i="4" s="1"/>
  <c r="K47" i="4" s="1"/>
  <c r="H12" i="4"/>
  <c r="D58" i="4"/>
  <c r="J26" i="2"/>
  <c r="K26" i="2" s="1"/>
  <c r="F46" i="4"/>
  <c r="G46" i="4" s="1"/>
  <c r="H46" i="4" s="1"/>
  <c r="I46" i="4" s="1"/>
  <c r="J46" i="4" s="1"/>
  <c r="K46" i="4" s="1"/>
  <c r="F45" i="4"/>
  <c r="G45" i="4" s="1"/>
  <c r="H45" i="4" s="1"/>
  <c r="I45" i="4" s="1"/>
  <c r="J45" i="4" s="1"/>
  <c r="K45" i="4" s="1"/>
  <c r="G12" i="4"/>
  <c r="F49" i="4"/>
  <c r="G49" i="4" s="1"/>
  <c r="H49" i="4" s="1"/>
  <c r="I49" i="4" s="1"/>
  <c r="J49" i="4" s="1"/>
  <c r="K49" i="4" s="1"/>
  <c r="J12" i="4"/>
  <c r="F12" i="4"/>
  <c r="H11" i="2"/>
  <c r="J30" i="4"/>
  <c r="H24" i="4"/>
  <c r="H23" i="2"/>
  <c r="H30" i="2"/>
  <c r="H31" i="2"/>
  <c r="D51" i="4"/>
  <c r="J33" i="2"/>
  <c r="K33" i="2" s="1"/>
  <c r="L33" i="2" s="1"/>
  <c r="M33" i="2" s="1"/>
  <c r="J22" i="2"/>
  <c r="K22" i="2" s="1"/>
  <c r="L22" i="2" s="1"/>
  <c r="M22" i="2" s="1"/>
  <c r="H18" i="2"/>
  <c r="J16" i="2"/>
  <c r="K16" i="2" s="1"/>
  <c r="H7" i="2"/>
  <c r="J20" i="2"/>
  <c r="K20" i="2" s="1"/>
  <c r="D53" i="2"/>
  <c r="J15" i="2"/>
  <c r="K15" i="2" s="1"/>
  <c r="D24" i="4"/>
  <c r="G24" i="4"/>
  <c r="D59" i="4"/>
  <c r="C40" i="9"/>
  <c r="K18" i="2"/>
  <c r="L18" i="2" s="1"/>
  <c r="M18" i="2" s="1"/>
  <c r="N18" i="2" s="1"/>
  <c r="I30" i="4"/>
  <c r="F30" i="4"/>
  <c r="E30" i="4"/>
  <c r="H30" i="4"/>
  <c r="C54" i="2"/>
  <c r="C6" i="11" s="1"/>
  <c r="H27" i="2"/>
  <c r="J32" i="2"/>
  <c r="K32" i="2" s="1"/>
  <c r="L32" i="2" s="1"/>
  <c r="J17" i="2"/>
  <c r="K17" i="2" s="1"/>
  <c r="J9" i="2"/>
  <c r="K9" i="2" s="1"/>
  <c r="L9" i="2" s="1"/>
  <c r="M9" i="2" s="1"/>
  <c r="N9" i="2" s="1"/>
  <c r="J27" i="2"/>
  <c r="K27" i="2" s="1"/>
  <c r="H8" i="2"/>
  <c r="H5" i="2"/>
  <c r="D30" i="4"/>
  <c r="D29" i="4" s="1"/>
  <c r="D70" i="4" s="1"/>
  <c r="K30" i="4"/>
  <c r="G30" i="4"/>
  <c r="H10" i="2"/>
  <c r="F57" i="2" s="1"/>
  <c r="K12" i="2"/>
  <c r="L12" i="2" s="1"/>
  <c r="E18" i="4"/>
  <c r="C53" i="2"/>
  <c r="C4" i="11" s="1"/>
  <c r="G18" i="4"/>
  <c r="H18" i="4"/>
  <c r="H6" i="2"/>
  <c r="H14" i="2"/>
  <c r="J21" i="2"/>
  <c r="K21" i="2" s="1"/>
  <c r="L21" i="2" s="1"/>
  <c r="J24" i="2"/>
  <c r="K24" i="2" s="1"/>
  <c r="K18" i="4"/>
  <c r="F18" i="4"/>
  <c r="D18" i="4"/>
  <c r="D17" i="4" s="1"/>
  <c r="D62" i="4" s="1"/>
  <c r="H12" i="2"/>
  <c r="E53" i="2"/>
  <c r="J24" i="4"/>
  <c r="F24" i="4"/>
  <c r="K24" i="4"/>
  <c r="J18" i="4"/>
  <c r="E24" i="4"/>
  <c r="I24" i="4"/>
  <c r="D57" i="4"/>
  <c r="E21" i="4"/>
  <c r="E19" i="4" s="1"/>
  <c r="F21" i="4" s="1"/>
  <c r="F19" i="4" s="1"/>
  <c r="G21" i="4" s="1"/>
  <c r="G19" i="4" s="1"/>
  <c r="K15" i="4"/>
  <c r="K27" i="4"/>
  <c r="K33" i="4"/>
  <c r="E15" i="4"/>
  <c r="E13" i="4" s="1"/>
  <c r="K21" i="4"/>
  <c r="M34" i="2"/>
  <c r="N34" i="2" s="1"/>
  <c r="K6" i="2"/>
  <c r="L6" i="2" s="1"/>
  <c r="M6" i="2" s="1"/>
  <c r="N6" i="2" s="1"/>
  <c r="K11" i="2"/>
  <c r="L11" i="2" s="1"/>
  <c r="L14" i="2"/>
  <c r="M14" i="2" s="1"/>
  <c r="N14" i="2" s="1"/>
  <c r="O14" i="2" s="1"/>
  <c r="K30" i="2"/>
  <c r="L30" i="2" s="1"/>
  <c r="K31" i="2"/>
  <c r="L31" i="2" s="1"/>
  <c r="H10" i="14"/>
  <c r="H82" i="4" l="1"/>
  <c r="D17" i="10"/>
  <c r="D26" i="8" s="1"/>
  <c r="F21" i="11"/>
  <c r="E38" i="11"/>
  <c r="E57" i="2"/>
  <c r="E12" i="11" s="1"/>
  <c r="F33" i="4"/>
  <c r="F31" i="4" s="1"/>
  <c r="L28" i="2"/>
  <c r="M28" i="2" s="1"/>
  <c r="N28" i="2" s="1"/>
  <c r="E25" i="4"/>
  <c r="F27" i="4" s="1"/>
  <c r="F25" i="4" s="1"/>
  <c r="G27" i="4" s="1"/>
  <c r="G25" i="4" s="1"/>
  <c r="H27" i="4" s="1"/>
  <c r="D23" i="4"/>
  <c r="D65" i="4" s="1"/>
  <c r="E29" i="4"/>
  <c r="E69" i="4" s="1"/>
  <c r="L10" i="2"/>
  <c r="M10" i="2" s="1"/>
  <c r="N10" i="2" s="1"/>
  <c r="J36" i="2"/>
  <c r="K36" i="2" s="1"/>
  <c r="O7" i="2"/>
  <c r="G3" i="10"/>
  <c r="G36" i="11"/>
  <c r="H3" i="11"/>
  <c r="I3" i="11" s="1"/>
  <c r="E52" i="4"/>
  <c r="C37" i="2" s="1"/>
  <c r="G37" i="2" s="1"/>
  <c r="F44" i="4"/>
  <c r="G44" i="4" s="1"/>
  <c r="G52" i="4" s="1"/>
  <c r="C39" i="2" s="1"/>
  <c r="G39" i="2" s="1"/>
  <c r="P3" i="2"/>
  <c r="P14" i="2" s="1"/>
  <c r="I57" i="2"/>
  <c r="I23" i="10" s="1"/>
  <c r="J19" i="10" s="1"/>
  <c r="I9" i="4"/>
  <c r="I43" i="4" s="1"/>
  <c r="I54" i="4" s="1"/>
  <c r="I82" i="4"/>
  <c r="J4" i="4"/>
  <c r="L35" i="2"/>
  <c r="M35" i="2" s="1"/>
  <c r="N35" i="2" s="1"/>
  <c r="O35" i="2" s="1"/>
  <c r="L23" i="2"/>
  <c r="M23" i="2" s="1"/>
  <c r="N23" i="2" s="1"/>
  <c r="O23" i="2" s="1"/>
  <c r="F12" i="11"/>
  <c r="F23" i="10"/>
  <c r="G19" i="10" s="1"/>
  <c r="M8" i="2"/>
  <c r="N8" i="2" s="1"/>
  <c r="O8" i="2" s="1"/>
  <c r="D57" i="2"/>
  <c r="J57" i="2"/>
  <c r="J12" i="11" s="1"/>
  <c r="N19" i="2"/>
  <c r="O19" i="2" s="1"/>
  <c r="L20" i="2"/>
  <c r="M20" i="2" s="1"/>
  <c r="O18" i="2"/>
  <c r="L15" i="2"/>
  <c r="M15" i="2" s="1"/>
  <c r="M32" i="2"/>
  <c r="N32" i="2" s="1"/>
  <c r="O32" i="2" s="1"/>
  <c r="L16" i="2"/>
  <c r="M16" i="2" s="1"/>
  <c r="L17" i="2"/>
  <c r="M17" i="2" s="1"/>
  <c r="N17" i="2" s="1"/>
  <c r="D54" i="2"/>
  <c r="D6" i="11" s="1"/>
  <c r="C8" i="14"/>
  <c r="D10" i="10" s="1"/>
  <c r="C57" i="2"/>
  <c r="C23" i="10" s="1"/>
  <c r="D19" i="10" s="1"/>
  <c r="M12" i="2"/>
  <c r="N12" i="2" s="1"/>
  <c r="O12" i="2" s="1"/>
  <c r="D4" i="11"/>
  <c r="E4" i="11" s="1"/>
  <c r="F4" i="11" s="1"/>
  <c r="G4" i="11" s="1"/>
  <c r="H4" i="11" s="1"/>
  <c r="I4" i="11" s="1"/>
  <c r="J4" i="11" s="1"/>
  <c r="D56" i="4"/>
  <c r="D71" i="4"/>
  <c r="C8" i="11"/>
  <c r="L24" i="2"/>
  <c r="M24" i="2" s="1"/>
  <c r="M21" i="2"/>
  <c r="N21" i="2" s="1"/>
  <c r="O21" i="2" s="1"/>
  <c r="C55" i="2"/>
  <c r="C22" i="10" s="1"/>
  <c r="C14" i="8" s="1"/>
  <c r="C27" i="8" s="1"/>
  <c r="O34" i="2"/>
  <c r="C64" i="9"/>
  <c r="D69" i="4"/>
  <c r="J45" i="2"/>
  <c r="D5" i="11" s="1"/>
  <c r="D61" i="4"/>
  <c r="D63" i="4"/>
  <c r="C48" i="9"/>
  <c r="F17" i="4"/>
  <c r="F63" i="4" s="1"/>
  <c r="E17" i="4"/>
  <c r="E11" i="4"/>
  <c r="F15" i="4"/>
  <c r="F13" i="4" s="1"/>
  <c r="N13" i="2"/>
  <c r="O13" i="2" s="1"/>
  <c r="O6" i="2"/>
  <c r="L26" i="2"/>
  <c r="O9" i="2"/>
  <c r="L27" i="2"/>
  <c r="M27" i="2" s="1"/>
  <c r="K45" i="2"/>
  <c r="M11" i="2"/>
  <c r="M31" i="2"/>
  <c r="M30" i="2"/>
  <c r="N33" i="2"/>
  <c r="O33" i="2" s="1"/>
  <c r="O5" i="2"/>
  <c r="N22" i="2"/>
  <c r="O22" i="2" s="1"/>
  <c r="I10" i="14"/>
  <c r="H21" i="4"/>
  <c r="H19" i="4" s="1"/>
  <c r="G17" i="4"/>
  <c r="P35" i="2" l="1"/>
  <c r="P18" i="2"/>
  <c r="P6" i="2"/>
  <c r="E17" i="10"/>
  <c r="E26" i="8" s="1"/>
  <c r="G21" i="11"/>
  <c r="F38" i="11"/>
  <c r="E23" i="10"/>
  <c r="F19" i="10" s="1"/>
  <c r="O28" i="2"/>
  <c r="P28" i="2" s="1"/>
  <c r="P34" i="2"/>
  <c r="G33" i="4"/>
  <c r="G31" i="4" s="1"/>
  <c r="H33" i="4" s="1"/>
  <c r="H31" i="4" s="1"/>
  <c r="I33" i="4" s="1"/>
  <c r="F29" i="4"/>
  <c r="F69" i="4" s="1"/>
  <c r="E23" i="4"/>
  <c r="E65" i="4" s="1"/>
  <c r="D66" i="4"/>
  <c r="G23" i="4"/>
  <c r="F56" i="9" s="1"/>
  <c r="D35" i="4"/>
  <c r="C72" i="9" s="1"/>
  <c r="H25" i="4"/>
  <c r="I27" i="4" s="1"/>
  <c r="C56" i="9"/>
  <c r="E71" i="4"/>
  <c r="F23" i="4"/>
  <c r="F66" i="4" s="1"/>
  <c r="E70" i="4"/>
  <c r="D67" i="4"/>
  <c r="D64" i="9"/>
  <c r="L36" i="2"/>
  <c r="M36" i="2" s="1"/>
  <c r="J37" i="2"/>
  <c r="K37" i="2" s="1"/>
  <c r="J39" i="2"/>
  <c r="K39" i="2" s="1"/>
  <c r="H3" i="10"/>
  <c r="H36" i="11"/>
  <c r="H10" i="8"/>
  <c r="H21" i="8" s="1"/>
  <c r="H44" i="4"/>
  <c r="H52" i="4" s="1"/>
  <c r="C40" i="2" s="1"/>
  <c r="G40" i="2" s="1"/>
  <c r="G54" i="2"/>
  <c r="G55" i="2" s="1"/>
  <c r="G22" i="10" s="1"/>
  <c r="G14" i="8" s="1"/>
  <c r="G27" i="8" s="1"/>
  <c r="F52" i="4"/>
  <c r="C38" i="2" s="1"/>
  <c r="G38" i="2" s="1"/>
  <c r="G51" i="4"/>
  <c r="D8" i="14"/>
  <c r="E10" i="10" s="1"/>
  <c r="E54" i="2"/>
  <c r="E55" i="2" s="1"/>
  <c r="E22" i="10" s="1"/>
  <c r="E14" i="8" s="1"/>
  <c r="E27" i="8" s="1"/>
  <c r="F51" i="4"/>
  <c r="P9" i="2"/>
  <c r="P12" i="2"/>
  <c r="P33" i="2"/>
  <c r="P23" i="2"/>
  <c r="P13" i="2"/>
  <c r="P29" i="2"/>
  <c r="P8" i="2"/>
  <c r="P7" i="2"/>
  <c r="I12" i="11"/>
  <c r="O10" i="2"/>
  <c r="P10" i="2" s="1"/>
  <c r="J9" i="4"/>
  <c r="J43" i="4" s="1"/>
  <c r="J54" i="4" s="1"/>
  <c r="J82" i="4"/>
  <c r="K4" i="4"/>
  <c r="D12" i="11"/>
  <c r="D23" i="10"/>
  <c r="E19" i="10" s="1"/>
  <c r="C41" i="9"/>
  <c r="C42" i="9" s="1"/>
  <c r="I3" i="10"/>
  <c r="J3" i="11"/>
  <c r="I36" i="11"/>
  <c r="I10" i="8"/>
  <c r="I21" i="8" s="1"/>
  <c r="J23" i="10"/>
  <c r="P19" i="2"/>
  <c r="N20" i="2"/>
  <c r="O20" i="2" s="1"/>
  <c r="P20" i="2" s="1"/>
  <c r="N16" i="2"/>
  <c r="O16" i="2" s="1"/>
  <c r="P16" i="2" s="1"/>
  <c r="D55" i="2"/>
  <c r="D22" i="10" s="1"/>
  <c r="D14" i="8" s="1"/>
  <c r="D27" i="8" s="1"/>
  <c r="C12" i="11"/>
  <c r="D68" i="4"/>
  <c r="C65" i="9" s="1"/>
  <c r="C66" i="9" s="1"/>
  <c r="C21" i="10"/>
  <c r="L45" i="2"/>
  <c r="N24" i="2"/>
  <c r="O24" i="2" s="1"/>
  <c r="D60" i="4"/>
  <c r="C49" i="9" s="1"/>
  <c r="C50" i="9" s="1"/>
  <c r="F62" i="4"/>
  <c r="E48" i="9"/>
  <c r="F61" i="4"/>
  <c r="E63" i="4"/>
  <c r="E61" i="4"/>
  <c r="D48" i="9"/>
  <c r="E62" i="4"/>
  <c r="G15" i="4"/>
  <c r="G13" i="4" s="1"/>
  <c r="F11" i="4"/>
  <c r="E57" i="4"/>
  <c r="E59" i="4"/>
  <c r="D40" i="9"/>
  <c r="E58" i="4"/>
  <c r="M45" i="2"/>
  <c r="N27" i="2"/>
  <c r="O27" i="2" s="1"/>
  <c r="P27" i="2" s="1"/>
  <c r="M26" i="2"/>
  <c r="P32" i="2"/>
  <c r="N31" i="2"/>
  <c r="E5" i="11"/>
  <c r="N15" i="2"/>
  <c r="O15" i="2" s="1"/>
  <c r="P15" i="2" s="1"/>
  <c r="P21" i="2"/>
  <c r="N30" i="2"/>
  <c r="N11" i="2"/>
  <c r="O17" i="2"/>
  <c r="P17" i="2" s="1"/>
  <c r="P5" i="2"/>
  <c r="P22" i="2"/>
  <c r="I21" i="4"/>
  <c r="I19" i="4" s="1"/>
  <c r="H17" i="4"/>
  <c r="G61" i="4"/>
  <c r="G62" i="4"/>
  <c r="F48" i="9"/>
  <c r="G63" i="4"/>
  <c r="F17" i="10" l="1"/>
  <c r="F26" i="8" s="1"/>
  <c r="H21" i="11"/>
  <c r="G38" i="11"/>
  <c r="G66" i="4"/>
  <c r="D74" i="4"/>
  <c r="D84" i="4" s="1"/>
  <c r="F70" i="4"/>
  <c r="G67" i="4"/>
  <c r="F71" i="4"/>
  <c r="I31" i="4"/>
  <c r="I29" i="4" s="1"/>
  <c r="E64" i="9"/>
  <c r="D64" i="4"/>
  <c r="C57" i="9" s="1"/>
  <c r="C58" i="9" s="1"/>
  <c r="E67" i="4"/>
  <c r="H29" i="4"/>
  <c r="G64" i="9" s="1"/>
  <c r="G29" i="4"/>
  <c r="H23" i="4"/>
  <c r="H67" i="4" s="1"/>
  <c r="E68" i="4"/>
  <c r="D65" i="9" s="1"/>
  <c r="D66" i="9" s="1"/>
  <c r="I25" i="4"/>
  <c r="I23" i="4" s="1"/>
  <c r="I67" i="4" s="1"/>
  <c r="E66" i="4"/>
  <c r="D56" i="9"/>
  <c r="D73" i="4"/>
  <c r="D83" i="4" s="1"/>
  <c r="E38" i="4"/>
  <c r="E36" i="4" s="1"/>
  <c r="E35" i="4" s="1"/>
  <c r="E74" i="4" s="1"/>
  <c r="D75" i="4"/>
  <c r="D85" i="4" s="1"/>
  <c r="G65" i="4"/>
  <c r="D40" i="4"/>
  <c r="D11" i="11" s="1"/>
  <c r="D6" i="10" s="1"/>
  <c r="D4" i="10" s="1"/>
  <c r="F67" i="4"/>
  <c r="E56" i="9"/>
  <c r="F65" i="4"/>
  <c r="L39" i="2"/>
  <c r="M39" i="2" s="1"/>
  <c r="N39" i="2" s="1"/>
  <c r="O39" i="2" s="1"/>
  <c r="N36" i="2"/>
  <c r="O36" i="2" s="1"/>
  <c r="P36" i="2" s="1"/>
  <c r="L37" i="2"/>
  <c r="M37" i="2" s="1"/>
  <c r="N37" i="2" s="1"/>
  <c r="O37" i="2" s="1"/>
  <c r="F54" i="2"/>
  <c r="F55" i="2" s="1"/>
  <c r="F22" i="10" s="1"/>
  <c r="F14" i="8" s="1"/>
  <c r="F27" i="8" s="1"/>
  <c r="J38" i="2"/>
  <c r="K38" i="2" s="1"/>
  <c r="L38" i="2" s="1"/>
  <c r="J40" i="2"/>
  <c r="K40" i="2" s="1"/>
  <c r="L40" i="2" s="1"/>
  <c r="H54" i="2"/>
  <c r="H55" i="2" s="1"/>
  <c r="H22" i="10" s="1"/>
  <c r="H14" i="8" s="1"/>
  <c r="H27" i="8" s="1"/>
  <c r="H51" i="4"/>
  <c r="I44" i="4"/>
  <c r="J44" i="4" s="1"/>
  <c r="J52" i="4" s="1"/>
  <c r="C42" i="2" s="1"/>
  <c r="G42" i="2" s="1"/>
  <c r="F8" i="14"/>
  <c r="G10" i="10" s="1"/>
  <c r="E6" i="11"/>
  <c r="E8" i="14"/>
  <c r="F10" i="10" s="1"/>
  <c r="K9" i="4"/>
  <c r="K82" i="4"/>
  <c r="J10" i="8"/>
  <c r="J21" i="8" s="1"/>
  <c r="J36" i="11"/>
  <c r="J3" i="10"/>
  <c r="P24" i="2"/>
  <c r="F60" i="4"/>
  <c r="E49" i="9" s="1"/>
  <c r="E50" i="9" s="1"/>
  <c r="E60" i="4"/>
  <c r="D49" i="9" s="1"/>
  <c r="D50" i="9" s="1"/>
  <c r="E56" i="4"/>
  <c r="E40" i="9"/>
  <c r="F59" i="4"/>
  <c r="F58" i="4"/>
  <c r="F57" i="4"/>
  <c r="H15" i="4"/>
  <c r="H13" i="4" s="1"/>
  <c r="G11" i="4"/>
  <c r="O30" i="2"/>
  <c r="P30" i="2" s="1"/>
  <c r="F5" i="11"/>
  <c r="N26" i="2"/>
  <c r="O31" i="2"/>
  <c r="P31" i="2" s="1"/>
  <c r="N45" i="2"/>
  <c r="O11" i="2"/>
  <c r="O45" i="2" s="1"/>
  <c r="I17" i="4"/>
  <c r="J21" i="4"/>
  <c r="J19" i="4" s="1"/>
  <c r="G60" i="4"/>
  <c r="F49" i="9" s="1"/>
  <c r="F50" i="9" s="1"/>
  <c r="H62" i="4"/>
  <c r="G48" i="9"/>
  <c r="H63" i="4"/>
  <c r="H61" i="4"/>
  <c r="G17" i="10" l="1"/>
  <c r="G26" i="8" s="1"/>
  <c r="I21" i="11"/>
  <c r="H38" i="11"/>
  <c r="G64" i="4"/>
  <c r="F57" i="9" s="1"/>
  <c r="F58" i="9" s="1"/>
  <c r="G56" i="9"/>
  <c r="J27" i="4"/>
  <c r="J25" i="4" s="1"/>
  <c r="J23" i="4" s="1"/>
  <c r="J67" i="4" s="1"/>
  <c r="J33" i="4"/>
  <c r="J31" i="4" s="1"/>
  <c r="J29" i="4" s="1"/>
  <c r="J71" i="4" s="1"/>
  <c r="H66" i="4"/>
  <c r="F68" i="4"/>
  <c r="E65" i="9" s="1"/>
  <c r="E66" i="9" s="1"/>
  <c r="I65" i="4"/>
  <c r="H56" i="9"/>
  <c r="H65" i="4"/>
  <c r="E40" i="4"/>
  <c r="E11" i="11" s="1"/>
  <c r="H69" i="4"/>
  <c r="F38" i="4"/>
  <c r="F36" i="4" s="1"/>
  <c r="F35" i="4" s="1"/>
  <c r="E64" i="4"/>
  <c r="D57" i="9" s="1"/>
  <c r="D58" i="9" s="1"/>
  <c r="H71" i="4"/>
  <c r="E75" i="4"/>
  <c r="E85" i="4" s="1"/>
  <c r="H70" i="4"/>
  <c r="G71" i="4"/>
  <c r="G70" i="4"/>
  <c r="F64" i="9"/>
  <c r="G69" i="4"/>
  <c r="C4" i="14"/>
  <c r="C6" i="9" s="1"/>
  <c r="I66" i="4"/>
  <c r="D72" i="4"/>
  <c r="C73" i="9" s="1"/>
  <c r="C74" i="9" s="1"/>
  <c r="F64" i="4"/>
  <c r="E57" i="9" s="1"/>
  <c r="E58" i="9" s="1"/>
  <c r="E84" i="4"/>
  <c r="D88" i="4" s="1"/>
  <c r="D91" i="4" s="1"/>
  <c r="E73" i="4"/>
  <c r="E83" i="4" s="1"/>
  <c r="D72" i="9"/>
  <c r="F6" i="11"/>
  <c r="G6" i="11" s="1"/>
  <c r="H6" i="11" s="1"/>
  <c r="M38" i="2"/>
  <c r="N38" i="2" s="1"/>
  <c r="O38" i="2" s="1"/>
  <c r="P38" i="2" s="1"/>
  <c r="P39" i="2"/>
  <c r="P37" i="2"/>
  <c r="J42" i="2"/>
  <c r="K42" i="2" s="1"/>
  <c r="M40" i="2"/>
  <c r="N40" i="2" s="1"/>
  <c r="J51" i="4"/>
  <c r="K44" i="4"/>
  <c r="K51" i="4" s="1"/>
  <c r="G8" i="14"/>
  <c r="H10" i="10" s="1"/>
  <c r="I52" i="4"/>
  <c r="C41" i="2" s="1"/>
  <c r="G41" i="2" s="1"/>
  <c r="I51" i="4"/>
  <c r="J54" i="2"/>
  <c r="J55" i="2" s="1"/>
  <c r="J22" i="10" s="1"/>
  <c r="J14" i="8" s="1"/>
  <c r="J27" i="8" s="1"/>
  <c r="K43" i="4"/>
  <c r="K54" i="4" s="1"/>
  <c r="I70" i="4"/>
  <c r="I71" i="4"/>
  <c r="I69" i="4"/>
  <c r="H64" i="9"/>
  <c r="D41" i="9"/>
  <c r="D42" i="9" s="1"/>
  <c r="F56" i="4"/>
  <c r="F40" i="9"/>
  <c r="G57" i="4"/>
  <c r="G59" i="4"/>
  <c r="G58" i="4"/>
  <c r="H11" i="4"/>
  <c r="I15" i="4"/>
  <c r="I13" i="4" s="1"/>
  <c r="P11" i="2"/>
  <c r="P45" i="2" s="1"/>
  <c r="G5" i="11"/>
  <c r="O26" i="2"/>
  <c r="K19" i="4"/>
  <c r="K17" i="4" s="1"/>
  <c r="J17" i="4"/>
  <c r="H48" i="9"/>
  <c r="I63" i="4"/>
  <c r="I62" i="4"/>
  <c r="I61" i="4"/>
  <c r="H60" i="4"/>
  <c r="G49" i="9" s="1"/>
  <c r="G50" i="9" s="1"/>
  <c r="H17" i="10" l="1"/>
  <c r="H26" i="8" s="1"/>
  <c r="I38" i="11"/>
  <c r="J21" i="11"/>
  <c r="J38" i="11" s="1"/>
  <c r="K25" i="4"/>
  <c r="K23" i="4" s="1"/>
  <c r="K67" i="4" s="1"/>
  <c r="J65" i="4"/>
  <c r="J66" i="4"/>
  <c r="J70" i="4"/>
  <c r="I64" i="9"/>
  <c r="J69" i="4"/>
  <c r="I64" i="4"/>
  <c r="H57" i="9" s="1"/>
  <c r="H58" i="9" s="1"/>
  <c r="I56" i="9"/>
  <c r="K31" i="4"/>
  <c r="K29" i="4" s="1"/>
  <c r="K70" i="4" s="1"/>
  <c r="H64" i="4"/>
  <c r="G57" i="9" s="1"/>
  <c r="G58" i="9" s="1"/>
  <c r="D4" i="14"/>
  <c r="D6" i="14" s="1"/>
  <c r="H68" i="4"/>
  <c r="G65" i="9" s="1"/>
  <c r="G66" i="9" s="1"/>
  <c r="E41" i="4"/>
  <c r="E6" i="10"/>
  <c r="E4" i="10" s="1"/>
  <c r="G68" i="4"/>
  <c r="F65" i="9" s="1"/>
  <c r="F66" i="9" s="1"/>
  <c r="D77" i="4"/>
  <c r="C7" i="14" s="1"/>
  <c r="C7" i="9" s="1"/>
  <c r="C8" i="9" s="1"/>
  <c r="C6" i="14"/>
  <c r="D87" i="4"/>
  <c r="D89" i="4" s="1"/>
  <c r="D10" i="11" s="1"/>
  <c r="E72" i="4"/>
  <c r="D73" i="9" s="1"/>
  <c r="D74" i="9" s="1"/>
  <c r="O40" i="2"/>
  <c r="P40" i="2" s="1"/>
  <c r="L42" i="2"/>
  <c r="J41" i="2"/>
  <c r="J46" i="2" s="1"/>
  <c r="I8" i="14"/>
  <c r="J10" i="10" s="1"/>
  <c r="I54" i="2"/>
  <c r="I55" i="2" s="1"/>
  <c r="I22" i="10" s="1"/>
  <c r="I14" i="8" s="1"/>
  <c r="I27" i="8" s="1"/>
  <c r="H8" i="14"/>
  <c r="I10" i="10" s="1"/>
  <c r="D95" i="4"/>
  <c r="D26" i="11" s="1"/>
  <c r="D9" i="10" s="1"/>
  <c r="I68" i="4"/>
  <c r="H65" i="9" s="1"/>
  <c r="H66" i="9" s="1"/>
  <c r="E41" i="9"/>
  <c r="E42" i="9" s="1"/>
  <c r="F75" i="4"/>
  <c r="F85" i="4" s="1"/>
  <c r="F40" i="4"/>
  <c r="E4" i="14" s="1"/>
  <c r="E72" i="9"/>
  <c r="F73" i="4"/>
  <c r="F83" i="4" s="1"/>
  <c r="G38" i="4"/>
  <c r="G36" i="4" s="1"/>
  <c r="F74" i="4"/>
  <c r="J15" i="4"/>
  <c r="J13" i="4" s="1"/>
  <c r="I11" i="4"/>
  <c r="G56" i="4"/>
  <c r="G40" i="9"/>
  <c r="H59" i="4"/>
  <c r="H57" i="4"/>
  <c r="H58" i="4"/>
  <c r="P26" i="2"/>
  <c r="H5" i="11"/>
  <c r="I60" i="4"/>
  <c r="H49" i="9" s="1"/>
  <c r="H50" i="9" s="1"/>
  <c r="J61" i="4"/>
  <c r="I48" i="9"/>
  <c r="J63" i="4"/>
  <c r="J62" i="4"/>
  <c r="K61" i="4"/>
  <c r="K62" i="4"/>
  <c r="K63" i="4"/>
  <c r="I17" i="10" l="1"/>
  <c r="I26" i="8" s="1"/>
  <c r="J17" i="10"/>
  <c r="J26" i="8" s="1"/>
  <c r="K66" i="4"/>
  <c r="K65" i="4"/>
  <c r="J64" i="4"/>
  <c r="I57" i="9" s="1"/>
  <c r="I58" i="9" s="1"/>
  <c r="J68" i="4"/>
  <c r="I65" i="9" s="1"/>
  <c r="I66" i="9" s="1"/>
  <c r="D6" i="9"/>
  <c r="K69" i="4"/>
  <c r="K71" i="4"/>
  <c r="K41" i="2"/>
  <c r="K46" i="2" s="1"/>
  <c r="K47" i="2" s="1"/>
  <c r="D9" i="14" s="1"/>
  <c r="E12" i="8" s="1"/>
  <c r="E23" i="8" s="1"/>
  <c r="D79" i="4"/>
  <c r="C13" i="11" s="1"/>
  <c r="C11" i="10" s="1"/>
  <c r="E77" i="4"/>
  <c r="E79" i="4" s="1"/>
  <c r="D13" i="11" s="1"/>
  <c r="D90" i="4"/>
  <c r="C92" i="4" s="1"/>
  <c r="D7" i="11"/>
  <c r="J47" i="2"/>
  <c r="C9" i="14" s="1"/>
  <c r="M42" i="2"/>
  <c r="G35" i="4"/>
  <c r="I6" i="11"/>
  <c r="J6" i="11" s="1"/>
  <c r="E87" i="4"/>
  <c r="E90" i="4" s="1"/>
  <c r="F84" i="4"/>
  <c r="F41" i="9"/>
  <c r="F42" i="9" s="1"/>
  <c r="F72" i="4"/>
  <c r="F77" i="4" s="1"/>
  <c r="F11" i="11"/>
  <c r="F6" i="10" s="1"/>
  <c r="F4" i="10" s="1"/>
  <c r="F41" i="4"/>
  <c r="H56" i="4"/>
  <c r="I57" i="4"/>
  <c r="H40" i="9"/>
  <c r="I58" i="4"/>
  <c r="I59" i="4"/>
  <c r="K13" i="4"/>
  <c r="K11" i="4" s="1"/>
  <c r="J11" i="4"/>
  <c r="I5" i="11"/>
  <c r="K60" i="4"/>
  <c r="J60" i="4"/>
  <c r="I49" i="9" s="1"/>
  <c r="I50" i="9" s="1"/>
  <c r="E6" i="14"/>
  <c r="E6" i="9"/>
  <c r="K64" i="4" l="1"/>
  <c r="K68" i="4"/>
  <c r="L41" i="2"/>
  <c r="L46" i="2" s="1"/>
  <c r="L47" i="2" s="1"/>
  <c r="E9" i="14" s="1"/>
  <c r="E9" i="9" s="1"/>
  <c r="E67" i="9" s="1"/>
  <c r="E68" i="9" s="1"/>
  <c r="E69" i="9" s="1"/>
  <c r="D9" i="9"/>
  <c r="D67" i="9" s="1"/>
  <c r="D68" i="9" s="1"/>
  <c r="D69" i="9" s="1"/>
  <c r="D11" i="10"/>
  <c r="D7" i="14"/>
  <c r="D7" i="9" s="1"/>
  <c r="N42" i="2"/>
  <c r="O42" i="2" s="1"/>
  <c r="D12" i="8"/>
  <c r="D23" i="8" s="1"/>
  <c r="C9" i="9"/>
  <c r="C11" i="14"/>
  <c r="E7" i="11"/>
  <c r="D8" i="11"/>
  <c r="M41" i="2"/>
  <c r="M46" i="2" s="1"/>
  <c r="M47" i="2" s="1"/>
  <c r="F9" i="14" s="1"/>
  <c r="D92" i="4"/>
  <c r="C94" i="4"/>
  <c r="C25" i="11" s="1"/>
  <c r="C28" i="11" s="1"/>
  <c r="C9" i="11"/>
  <c r="E88" i="4"/>
  <c r="G41" i="9"/>
  <c r="G42" i="9" s="1"/>
  <c r="G73" i="4"/>
  <c r="G83" i="4" s="1"/>
  <c r="G40" i="4"/>
  <c r="G41" i="4" s="1"/>
  <c r="H38" i="4"/>
  <c r="H36" i="4" s="1"/>
  <c r="G75" i="4"/>
  <c r="G85" i="4" s="1"/>
  <c r="G74" i="4"/>
  <c r="E73" i="9"/>
  <c r="E74" i="9" s="1"/>
  <c r="F72" i="9"/>
  <c r="I40" i="9"/>
  <c r="J58" i="4"/>
  <c r="J57" i="4"/>
  <c r="J59" i="4"/>
  <c r="K57" i="4"/>
  <c r="K59" i="4"/>
  <c r="K58" i="4"/>
  <c r="I56" i="4"/>
  <c r="J5" i="11"/>
  <c r="F79" i="4"/>
  <c r="E13" i="11" s="1"/>
  <c r="E11" i="10" s="1"/>
  <c r="E7" i="14"/>
  <c r="E7" i="9" s="1"/>
  <c r="D43" i="9" l="1"/>
  <c r="D44" i="9" s="1"/>
  <c r="D45" i="9" s="1"/>
  <c r="F12" i="8"/>
  <c r="F23" i="8" s="1"/>
  <c r="D10" i="9"/>
  <c r="D59" i="9"/>
  <c r="D60" i="9" s="1"/>
  <c r="D61" i="9" s="1"/>
  <c r="D75" i="9"/>
  <c r="D76" i="9" s="1"/>
  <c r="D77" i="9" s="1"/>
  <c r="D51" i="9"/>
  <c r="D52" i="9" s="1"/>
  <c r="D53" i="9" s="1"/>
  <c r="E43" i="9"/>
  <c r="E44" i="9" s="1"/>
  <c r="E45" i="9" s="1"/>
  <c r="E51" i="9"/>
  <c r="E52" i="9" s="1"/>
  <c r="E53" i="9" s="1"/>
  <c r="E59" i="9"/>
  <c r="E60" i="9" s="1"/>
  <c r="E61" i="9" s="1"/>
  <c r="D8" i="9"/>
  <c r="D11" i="9" s="1"/>
  <c r="D12" i="9" s="1"/>
  <c r="D11" i="14"/>
  <c r="E75" i="9"/>
  <c r="E76" i="9" s="1"/>
  <c r="E77" i="9" s="1"/>
  <c r="E10" i="9"/>
  <c r="N41" i="2"/>
  <c r="N46" i="2" s="1"/>
  <c r="N47" i="2" s="1"/>
  <c r="G9" i="14" s="1"/>
  <c r="H12" i="8" s="1"/>
  <c r="H23" i="8" s="1"/>
  <c r="G12" i="8"/>
  <c r="G23" i="8" s="1"/>
  <c r="F9" i="9"/>
  <c r="P42" i="2"/>
  <c r="C67" i="9"/>
  <c r="C68" i="9" s="1"/>
  <c r="C69" i="9" s="1"/>
  <c r="C75" i="9"/>
  <c r="C76" i="9" s="1"/>
  <c r="C77" i="9" s="1"/>
  <c r="C59" i="9"/>
  <c r="C60" i="9" s="1"/>
  <c r="C61" i="9" s="1"/>
  <c r="C10" i="9"/>
  <c r="C43" i="9"/>
  <c r="C44" i="9" s="1"/>
  <c r="C45" i="9" s="1"/>
  <c r="C51" i="9"/>
  <c r="C52" i="9" s="1"/>
  <c r="C53" i="9" s="1"/>
  <c r="C11" i="9"/>
  <c r="C12" i="9" s="1"/>
  <c r="B18" i="9"/>
  <c r="F7" i="11"/>
  <c r="E8" i="11"/>
  <c r="H35" i="4"/>
  <c r="D9" i="11"/>
  <c r="D94" i="4"/>
  <c r="D25" i="11" s="1"/>
  <c r="D8" i="10" s="1"/>
  <c r="D7" i="10" s="1"/>
  <c r="D13" i="10" s="1"/>
  <c r="C8" i="10"/>
  <c r="C7" i="10" s="1"/>
  <c r="C13" i="10" s="1"/>
  <c r="C23" i="11"/>
  <c r="C33" i="11"/>
  <c r="C13" i="8" s="1"/>
  <c r="E91" i="4"/>
  <c r="E95" i="4" s="1"/>
  <c r="E26" i="11" s="1"/>
  <c r="E9" i="10" s="1"/>
  <c r="E89" i="4"/>
  <c r="E10" i="11" s="1"/>
  <c r="F87" i="4"/>
  <c r="F90" i="4" s="1"/>
  <c r="G84" i="4"/>
  <c r="F88" i="4" s="1"/>
  <c r="H41" i="9"/>
  <c r="H42" i="9" s="1"/>
  <c r="G72" i="4"/>
  <c r="G77" i="4" s="1"/>
  <c r="G11" i="11"/>
  <c r="G6" i="10" s="1"/>
  <c r="G4" i="10" s="1"/>
  <c r="F4" i="14"/>
  <c r="F6" i="14" s="1"/>
  <c r="J56" i="4"/>
  <c r="K56" i="4"/>
  <c r="E11" i="14"/>
  <c r="E8" i="9"/>
  <c r="E11" i="9" s="1"/>
  <c r="E12" i="9" s="1"/>
  <c r="O41" i="2" l="1"/>
  <c r="O46" i="2" s="1"/>
  <c r="O47" i="2" s="1"/>
  <c r="H9" i="14" s="1"/>
  <c r="I12" i="8" s="1"/>
  <c r="I23" i="8" s="1"/>
  <c r="G9" i="9"/>
  <c r="F8" i="11"/>
  <c r="G7" i="11"/>
  <c r="H40" i="4"/>
  <c r="H41" i="4" s="1"/>
  <c r="E92" i="4"/>
  <c r="E9" i="11" s="1"/>
  <c r="C24" i="8"/>
  <c r="C16" i="8"/>
  <c r="C13" i="14"/>
  <c r="D26" i="10" s="1"/>
  <c r="C24" i="11"/>
  <c r="C18" i="11" s="1"/>
  <c r="F89" i="4"/>
  <c r="F73" i="9"/>
  <c r="F74" i="9" s="1"/>
  <c r="F91" i="4"/>
  <c r="F95" i="4" s="1"/>
  <c r="F26" i="11" s="1"/>
  <c r="F9" i="10" s="1"/>
  <c r="I41" i="9"/>
  <c r="I42" i="9" s="1"/>
  <c r="I38" i="4"/>
  <c r="H74" i="4"/>
  <c r="G72" i="9"/>
  <c r="H73" i="4"/>
  <c r="H83" i="4" s="1"/>
  <c r="H75" i="4"/>
  <c r="H85" i="4" s="1"/>
  <c r="F6" i="9"/>
  <c r="F51" i="9" s="1"/>
  <c r="F52" i="9" s="1"/>
  <c r="F53" i="9" s="1"/>
  <c r="F7" i="14"/>
  <c r="F7" i="9" s="1"/>
  <c r="F10" i="9" s="1"/>
  <c r="G79" i="4"/>
  <c r="F13" i="11" s="1"/>
  <c r="F11" i="10" s="1"/>
  <c r="H9" i="9" l="1"/>
  <c r="P41" i="2"/>
  <c r="P46" i="2" s="1"/>
  <c r="P47" i="2" s="1"/>
  <c r="I9" i="14" s="1"/>
  <c r="J12" i="8" s="1"/>
  <c r="J23" i="8" s="1"/>
  <c r="H7" i="11"/>
  <c r="G8" i="11"/>
  <c r="I36" i="4"/>
  <c r="G4" i="14"/>
  <c r="G6" i="9" s="1"/>
  <c r="H11" i="11"/>
  <c r="H6" i="10" s="1"/>
  <c r="H4" i="10" s="1"/>
  <c r="C32" i="11"/>
  <c r="C39" i="11"/>
  <c r="C18" i="10" s="1"/>
  <c r="C37" i="11"/>
  <c r="C16" i="10" s="1"/>
  <c r="E94" i="4"/>
  <c r="F10" i="11"/>
  <c r="G87" i="4"/>
  <c r="H84" i="4"/>
  <c r="G88" i="4" s="1"/>
  <c r="F43" i="9"/>
  <c r="F44" i="9" s="1"/>
  <c r="F45" i="9" s="1"/>
  <c r="F59" i="9"/>
  <c r="F60" i="9" s="1"/>
  <c r="F61" i="9" s="1"/>
  <c r="F67" i="9"/>
  <c r="F68" i="9" s="1"/>
  <c r="F69" i="9" s="1"/>
  <c r="H72" i="4"/>
  <c r="F75" i="9"/>
  <c r="F76" i="9" s="1"/>
  <c r="F77" i="9" s="1"/>
  <c r="F8" i="9"/>
  <c r="F11" i="9" s="1"/>
  <c r="F12" i="9" s="1"/>
  <c r="F11" i="14"/>
  <c r="I9" i="9" l="1"/>
  <c r="I7" i="11"/>
  <c r="H8" i="11"/>
  <c r="I35" i="4"/>
  <c r="G6" i="14"/>
  <c r="C22" i="11"/>
  <c r="C29" i="11" s="1"/>
  <c r="C15" i="10"/>
  <c r="C27" i="10" s="1"/>
  <c r="C29" i="10" s="1"/>
  <c r="C30" i="10" s="1"/>
  <c r="E25" i="11"/>
  <c r="E8" i="10" s="1"/>
  <c r="G89" i="4"/>
  <c r="G91" i="4"/>
  <c r="G95" i="4" s="1"/>
  <c r="G26" i="11" s="1"/>
  <c r="G9" i="10" s="1"/>
  <c r="G73" i="9"/>
  <c r="G74" i="9" s="1"/>
  <c r="H77" i="4"/>
  <c r="G90" i="4"/>
  <c r="F92" i="4" s="1"/>
  <c r="G67" i="9"/>
  <c r="G68" i="9" s="1"/>
  <c r="G69" i="9" s="1"/>
  <c r="G59" i="9"/>
  <c r="G60" i="9" s="1"/>
  <c r="G61" i="9" s="1"/>
  <c r="G43" i="9"/>
  <c r="G44" i="9" s="1"/>
  <c r="G45" i="9" s="1"/>
  <c r="G51" i="9"/>
  <c r="G52" i="9" s="1"/>
  <c r="G53" i="9" s="1"/>
  <c r="G75" i="9"/>
  <c r="J7" i="11" l="1"/>
  <c r="J8" i="11" s="1"/>
  <c r="I8" i="11"/>
  <c r="I40" i="4"/>
  <c r="I73" i="4"/>
  <c r="J38" i="4"/>
  <c r="J36" i="4" s="1"/>
  <c r="I75" i="4"/>
  <c r="I85" i="4" s="1"/>
  <c r="I74" i="4"/>
  <c r="I84" i="4" s="1"/>
  <c r="H88" i="4" s="1"/>
  <c r="H91" i="4" s="1"/>
  <c r="H95" i="4" s="1"/>
  <c r="H26" i="11" s="1"/>
  <c r="H9" i="10" s="1"/>
  <c r="H72" i="9"/>
  <c r="C14" i="11"/>
  <c r="C34" i="11" s="1"/>
  <c r="C25" i="8" s="1"/>
  <c r="C29" i="8" s="1"/>
  <c r="G76" i="9"/>
  <c r="G77" i="9" s="1"/>
  <c r="F9" i="11"/>
  <c r="F94" i="4"/>
  <c r="F25" i="11" s="1"/>
  <c r="F8" i="10" s="1"/>
  <c r="G10" i="11"/>
  <c r="H79" i="4"/>
  <c r="G13" i="11" s="1"/>
  <c r="G11" i="10" s="1"/>
  <c r="G7" i="14"/>
  <c r="G7" i="9" s="1"/>
  <c r="G10" i="9" s="1"/>
  <c r="K36" i="4" l="1"/>
  <c r="K35" i="4" s="1"/>
  <c r="J35" i="4"/>
  <c r="I83" i="4"/>
  <c r="I72" i="4"/>
  <c r="H4" i="14"/>
  <c r="I41" i="4"/>
  <c r="I11" i="11"/>
  <c r="I6" i="10" s="1"/>
  <c r="I4" i="10" s="1"/>
  <c r="C15" i="11"/>
  <c r="C16" i="11" s="1"/>
  <c r="C30" i="11" s="1"/>
  <c r="C31" i="10"/>
  <c r="C32" i="10" s="1"/>
  <c r="C12" i="14"/>
  <c r="C14" i="14" s="1"/>
  <c r="C19" i="14" s="1"/>
  <c r="C15" i="14" s="1"/>
  <c r="G11" i="14"/>
  <c r="G8" i="9"/>
  <c r="G11" i="9" s="1"/>
  <c r="G12" i="9" s="1"/>
  <c r="H6" i="9" l="1"/>
  <c r="H6" i="14"/>
  <c r="I77" i="4"/>
  <c r="H73" i="9"/>
  <c r="H74" i="9" s="1"/>
  <c r="H87" i="4"/>
  <c r="J40" i="4"/>
  <c r="J75" i="4"/>
  <c r="J85" i="4" s="1"/>
  <c r="J74" i="4"/>
  <c r="J84" i="4" s="1"/>
  <c r="I88" i="4" s="1"/>
  <c r="I91" i="4" s="1"/>
  <c r="I95" i="4" s="1"/>
  <c r="I26" i="11" s="1"/>
  <c r="I9" i="10" s="1"/>
  <c r="I72" i="9"/>
  <c r="J73" i="4"/>
  <c r="K40" i="4"/>
  <c r="K74" i="4"/>
  <c r="K84" i="4" s="1"/>
  <c r="J88" i="4" s="1"/>
  <c r="K91" i="4" s="1"/>
  <c r="K75" i="4"/>
  <c r="K85" i="4" s="1"/>
  <c r="K73" i="4"/>
  <c r="D20" i="10"/>
  <c r="C16" i="14"/>
  <c r="D18" i="14" s="1"/>
  <c r="D11" i="8"/>
  <c r="E12" i="10"/>
  <c r="E7" i="10" s="1"/>
  <c r="E13" i="10" s="1"/>
  <c r="D27" i="11"/>
  <c r="D28" i="11" s="1"/>
  <c r="D20" i="11" l="1"/>
  <c r="D23" i="11" s="1"/>
  <c r="J41" i="4"/>
  <c r="J11" i="11"/>
  <c r="J6" i="10" s="1"/>
  <c r="J4" i="10" s="1"/>
  <c r="I4" i="14"/>
  <c r="H89" i="4"/>
  <c r="H10" i="11" s="1"/>
  <c r="H90" i="4"/>
  <c r="G92" i="4" s="1"/>
  <c r="K83" i="4"/>
  <c r="K72" i="4"/>
  <c r="K77" i="4" s="1"/>
  <c r="K79" i="4" s="1"/>
  <c r="J13" i="11" s="1"/>
  <c r="K41" i="4"/>
  <c r="J83" i="4"/>
  <c r="J72" i="4"/>
  <c r="I79" i="4"/>
  <c r="H13" i="11" s="1"/>
  <c r="H11" i="10" s="1"/>
  <c r="H7" i="14"/>
  <c r="H7" i="9" s="1"/>
  <c r="B17" i="9"/>
  <c r="H43" i="9"/>
  <c r="H44" i="9" s="1"/>
  <c r="H45" i="9" s="1"/>
  <c r="H75" i="9"/>
  <c r="H76" i="9" s="1"/>
  <c r="H77" i="9" s="1"/>
  <c r="H51" i="9"/>
  <c r="H52" i="9" s="1"/>
  <c r="H53" i="9" s="1"/>
  <c r="H67" i="9"/>
  <c r="H68" i="9" s="1"/>
  <c r="H69" i="9" s="1"/>
  <c r="H59" i="9"/>
  <c r="H60" i="9" s="1"/>
  <c r="H61" i="9" s="1"/>
  <c r="D33" i="11"/>
  <c r="D13" i="8" s="1"/>
  <c r="D24" i="8" s="1"/>
  <c r="D22" i="8"/>
  <c r="J91" i="4"/>
  <c r="J95" i="4" s="1"/>
  <c r="J26" i="11" s="1"/>
  <c r="J9" i="10" s="1"/>
  <c r="J87" i="4" l="1"/>
  <c r="G9" i="11"/>
  <c r="G94" i="4"/>
  <c r="G25" i="11" s="1"/>
  <c r="G8" i="10" s="1"/>
  <c r="H10" i="9"/>
  <c r="B19" i="9" s="1"/>
  <c r="H8" i="9"/>
  <c r="H11" i="9" s="1"/>
  <c r="H12" i="9" s="1"/>
  <c r="J77" i="4"/>
  <c r="I73" i="9"/>
  <c r="I74" i="9" s="1"/>
  <c r="I6" i="9"/>
  <c r="I6" i="14"/>
  <c r="I87" i="4"/>
  <c r="H11" i="14"/>
  <c r="D16" i="8"/>
  <c r="E25" i="10"/>
  <c r="E19" i="11"/>
  <c r="D24" i="10"/>
  <c r="D24" i="11"/>
  <c r="D18" i="11" s="1"/>
  <c r="D13" i="14"/>
  <c r="E26" i="10" s="1"/>
  <c r="I7" i="14" l="1"/>
  <c r="J79" i="4"/>
  <c r="I13" i="11" s="1"/>
  <c r="I89" i="4"/>
  <c r="I10" i="11" s="1"/>
  <c r="I90" i="4"/>
  <c r="H92" i="4" s="1"/>
  <c r="I59" i="9"/>
  <c r="I60" i="9" s="1"/>
  <c r="I61" i="9" s="1"/>
  <c r="I51" i="9"/>
  <c r="I52" i="9" s="1"/>
  <c r="I53" i="9" s="1"/>
  <c r="I43" i="9"/>
  <c r="I44" i="9" s="1"/>
  <c r="I45" i="9" s="1"/>
  <c r="I75" i="9"/>
  <c r="I76" i="9" s="1"/>
  <c r="I77" i="9" s="1"/>
  <c r="I67" i="9"/>
  <c r="I68" i="9" s="1"/>
  <c r="I69" i="9" s="1"/>
  <c r="K90" i="4"/>
  <c r="J92" i="4" s="1"/>
  <c r="J9" i="11" s="1"/>
  <c r="J90" i="4"/>
  <c r="I92" i="4" s="1"/>
  <c r="I9" i="11" s="1"/>
  <c r="J89" i="4"/>
  <c r="J10" i="11" s="1"/>
  <c r="D32" i="11"/>
  <c r="D39" i="11"/>
  <c r="D18" i="10" s="1"/>
  <c r="D22" i="11"/>
  <c r="D29" i="11" s="1"/>
  <c r="D14" i="11" s="1"/>
  <c r="D21" i="10"/>
  <c r="I94" i="4" l="1"/>
  <c r="I25" i="11" s="1"/>
  <c r="J94" i="4"/>
  <c r="J25" i="11" s="1"/>
  <c r="H94" i="4"/>
  <c r="H25" i="11" s="1"/>
  <c r="H8" i="10" s="1"/>
  <c r="H9" i="11"/>
  <c r="I11" i="10"/>
  <c r="J11" i="10"/>
  <c r="I7" i="9"/>
  <c r="I11" i="14"/>
  <c r="D37" i="11"/>
  <c r="D34" i="11"/>
  <c r="D25" i="8" s="1"/>
  <c r="D29" i="8" s="1"/>
  <c r="D31" i="10"/>
  <c r="D12" i="14"/>
  <c r="D15" i="11"/>
  <c r="D16" i="11" s="1"/>
  <c r="D30" i="11" s="1"/>
  <c r="D16" i="10" l="1"/>
  <c r="D15" i="10" s="1"/>
  <c r="D27" i="10" s="1"/>
  <c r="D29" i="10" s="1"/>
  <c r="D30" i="10" s="1"/>
  <c r="D32" i="10" s="1"/>
  <c r="J8" i="10"/>
  <c r="I8" i="10"/>
  <c r="I10" i="9"/>
  <c r="I8" i="9"/>
  <c r="I11" i="9" s="1"/>
  <c r="I12" i="9" s="1"/>
  <c r="E20" i="10"/>
  <c r="D14" i="14"/>
  <c r="D19" i="14" s="1"/>
  <c r="D15" i="14" s="1"/>
  <c r="E11" i="8" s="1"/>
  <c r="F12" i="10" l="1"/>
  <c r="F7" i="10" s="1"/>
  <c r="F13" i="10" s="1"/>
  <c r="E27" i="11"/>
  <c r="E28" i="11" s="1"/>
  <c r="D16" i="14"/>
  <c r="E22" i="8" l="1"/>
  <c r="E20" i="11"/>
  <c r="E18" i="14"/>
  <c r="E33" i="11"/>
  <c r="E13" i="8" s="1"/>
  <c r="F25" i="10" l="1"/>
  <c r="F19" i="11"/>
  <c r="E23" i="11"/>
  <c r="E24" i="8"/>
  <c r="E16" i="8"/>
  <c r="E24" i="11" l="1"/>
  <c r="E18" i="11" s="1"/>
  <c r="E13" i="14"/>
  <c r="F26" i="10" s="1"/>
  <c r="E24" i="10"/>
  <c r="E32" i="11" l="1"/>
  <c r="E39" i="11"/>
  <c r="E18" i="10" s="1"/>
  <c r="E21" i="10"/>
  <c r="E37" i="11" l="1"/>
  <c r="E22" i="11"/>
  <c r="E29" i="11" s="1"/>
  <c r="E14" i="11" s="1"/>
  <c r="E34" i="11" s="1"/>
  <c r="E25" i="8" s="1"/>
  <c r="E29" i="8" s="1"/>
  <c r="E16" i="10" l="1"/>
  <c r="E15" i="10" s="1"/>
  <c r="E27" i="10" s="1"/>
  <c r="E29" i="10" s="1"/>
  <c r="E30" i="10" s="1"/>
  <c r="E15" i="11"/>
  <c r="E16" i="11" s="1"/>
  <c r="E30" i="11" s="1"/>
  <c r="E12" i="14"/>
  <c r="F20" i="10" s="1"/>
  <c r="E31" i="10"/>
  <c r="E32" i="10" l="1"/>
  <c r="E14" i="14"/>
  <c r="E19" i="14" s="1"/>
  <c r="E15" i="14" l="1"/>
  <c r="F11" i="8" s="1"/>
  <c r="F27" i="11" l="1"/>
  <c r="F28" i="11" s="1"/>
  <c r="G12" i="10"/>
  <c r="G7" i="10" s="1"/>
  <c r="G13" i="10" s="1"/>
  <c r="E16" i="14"/>
  <c r="F18" i="14" s="1"/>
  <c r="F22" i="8" l="1"/>
  <c r="F20" i="11"/>
  <c r="F33" i="11"/>
  <c r="F13" i="8" s="1"/>
  <c r="G25" i="10" l="1"/>
  <c r="G19" i="11"/>
  <c r="F23" i="11"/>
  <c r="F24" i="8"/>
  <c r="F16" i="8"/>
  <c r="F13" i="14" l="1"/>
  <c r="G26" i="10" s="1"/>
  <c r="F24" i="11"/>
  <c r="F18" i="11" s="1"/>
  <c r="F24" i="10"/>
  <c r="F32" i="11" l="1"/>
  <c r="F39" i="11"/>
  <c r="F18" i="10" s="1"/>
  <c r="F21" i="10"/>
  <c r="F22" i="11" l="1"/>
  <c r="F29" i="11" s="1"/>
  <c r="F14" i="11" s="1"/>
  <c r="F34" i="11" s="1"/>
  <c r="F25" i="8" s="1"/>
  <c r="F29" i="8" s="1"/>
  <c r="F37" i="11"/>
  <c r="F16" i="10" l="1"/>
  <c r="F15" i="10" s="1"/>
  <c r="F27" i="10" s="1"/>
  <c r="F29" i="10" s="1"/>
  <c r="F30" i="10" s="1"/>
  <c r="F12" i="14"/>
  <c r="G20" i="10" s="1"/>
  <c r="F15" i="11"/>
  <c r="F16" i="11" s="1"/>
  <c r="F30" i="11" s="1"/>
  <c r="F31" i="10"/>
  <c r="F32" i="10" l="1"/>
  <c r="F14" i="14"/>
  <c r="F19" i="14" s="1"/>
  <c r="F15" i="14" l="1"/>
  <c r="G11" i="8" s="1"/>
  <c r="H12" i="10" l="1"/>
  <c r="H7" i="10" s="1"/>
  <c r="H13" i="10" s="1"/>
  <c r="G27" i="11"/>
  <c r="G28" i="11" s="1"/>
  <c r="F16" i="14"/>
  <c r="G33" i="11" l="1"/>
  <c r="G13" i="8" s="1"/>
  <c r="G20" i="11"/>
  <c r="G22" i="8"/>
  <c r="G18" i="14"/>
  <c r="H25" i="10" l="1"/>
  <c r="H19" i="11"/>
  <c r="G23" i="11"/>
  <c r="G24" i="8"/>
  <c r="G16" i="8"/>
  <c r="G24" i="11" l="1"/>
  <c r="G18" i="11" s="1"/>
  <c r="G13" i="14"/>
  <c r="H26" i="10" s="1"/>
  <c r="G24" i="10"/>
  <c r="G32" i="11" l="1"/>
  <c r="G39" i="11"/>
  <c r="G18" i="10" s="1"/>
  <c r="G22" i="11"/>
  <c r="G29" i="11" s="1"/>
  <c r="G14" i="11" s="1"/>
  <c r="G21" i="10"/>
  <c r="G37" i="11" l="1"/>
  <c r="G16" i="10" s="1"/>
  <c r="G15" i="10" s="1"/>
  <c r="G27" i="10" s="1"/>
  <c r="G29" i="10" s="1"/>
  <c r="G30" i="10" s="1"/>
  <c r="G34" i="11"/>
  <c r="G25" i="8" s="1"/>
  <c r="G29" i="8" s="1"/>
  <c r="G31" i="10"/>
  <c r="G12" i="14"/>
  <c r="G15" i="11"/>
  <c r="G16" i="11" s="1"/>
  <c r="G30" i="11" s="1"/>
  <c r="H20" i="10" l="1"/>
  <c r="G14" i="14"/>
  <c r="G32" i="10"/>
  <c r="G19" i="14" l="1"/>
  <c r="G15" i="14" l="1"/>
  <c r="H11" i="8" s="1"/>
  <c r="H27" i="11" l="1"/>
  <c r="H28" i="11" s="1"/>
  <c r="I12" i="10"/>
  <c r="I7" i="10" s="1"/>
  <c r="I13" i="10" s="1"/>
  <c r="G16" i="14"/>
  <c r="H22" i="8" l="1"/>
  <c r="H20" i="11"/>
  <c r="H18" i="14"/>
  <c r="H33" i="11"/>
  <c r="H13" i="8" s="1"/>
  <c r="I25" i="10" l="1"/>
  <c r="I19" i="11"/>
  <c r="H23" i="11"/>
  <c r="H24" i="8"/>
  <c r="H16" i="8"/>
  <c r="H24" i="11" l="1"/>
  <c r="H18" i="11" s="1"/>
  <c r="H13" i="14"/>
  <c r="I26" i="10" s="1"/>
  <c r="H24" i="10"/>
  <c r="H32" i="11" l="1"/>
  <c r="H39" i="11"/>
  <c r="H18" i="10" s="1"/>
  <c r="H37" i="11"/>
  <c r="H16" i="10" s="1"/>
  <c r="H21" i="10"/>
  <c r="H15" i="10" l="1"/>
  <c r="H27" i="10" s="1"/>
  <c r="H29" i="10" s="1"/>
  <c r="H30" i="10" s="1"/>
  <c r="H22" i="11"/>
  <c r="H29" i="11" s="1"/>
  <c r="H14" i="11" s="1"/>
  <c r="H34" i="11" s="1"/>
  <c r="H25" i="8" s="1"/>
  <c r="H29" i="8" s="1"/>
  <c r="H15" i="11" l="1"/>
  <c r="H16" i="11" s="1"/>
  <c r="H30" i="11" s="1"/>
  <c r="H31" i="10"/>
  <c r="H32" i="10" s="1"/>
  <c r="H12" i="14"/>
  <c r="I20" i="10" s="1"/>
  <c r="H14" i="14" l="1"/>
  <c r="H19" i="14" s="1"/>
  <c r="H15" i="14" l="1"/>
  <c r="I11" i="8" s="1"/>
  <c r="I27" i="11" l="1"/>
  <c r="I28" i="11" s="1"/>
  <c r="J12" i="10"/>
  <c r="J7" i="10" s="1"/>
  <c r="J13" i="10" s="1"/>
  <c r="H16" i="14"/>
  <c r="I22" i="8" l="1"/>
  <c r="I20" i="11"/>
  <c r="I18" i="14"/>
  <c r="I33" i="11"/>
  <c r="I13" i="8" s="1"/>
  <c r="J25" i="10" l="1"/>
  <c r="J19" i="11"/>
  <c r="I23" i="11"/>
  <c r="I24" i="8"/>
  <c r="I16" i="8"/>
  <c r="I13" i="14" l="1"/>
  <c r="J26" i="10" s="1"/>
  <c r="I24" i="11"/>
  <c r="I18" i="11" s="1"/>
  <c r="I24" i="10"/>
  <c r="I32" i="11" l="1"/>
  <c r="I39" i="11"/>
  <c r="I18" i="10" s="1"/>
  <c r="I37" i="11"/>
  <c r="I16" i="10" s="1"/>
  <c r="I21" i="10"/>
  <c r="I15" i="10" l="1"/>
  <c r="I27" i="10" s="1"/>
  <c r="I29" i="10" s="1"/>
  <c r="I30" i="10" s="1"/>
  <c r="I22" i="11"/>
  <c r="I29" i="11" s="1"/>
  <c r="I14" i="11" s="1"/>
  <c r="I34" i="11" s="1"/>
  <c r="I25" i="8" s="1"/>
  <c r="I29" i="8" s="1"/>
  <c r="I12" i="14" l="1"/>
  <c r="I14" i="14" s="1"/>
  <c r="I15" i="11"/>
  <c r="I16" i="11" s="1"/>
  <c r="I30" i="11" s="1"/>
  <c r="I31" i="10"/>
  <c r="I32" i="10" s="1"/>
  <c r="J20" i="10" l="1"/>
  <c r="I19" i="14"/>
  <c r="I15" i="14" s="1"/>
  <c r="J27" i="11" l="1"/>
  <c r="J28" i="11" s="1"/>
  <c r="J11" i="8"/>
  <c r="J15" i="8" s="1"/>
  <c r="I16" i="14"/>
  <c r="J33" i="11" l="1"/>
  <c r="J13" i="8" s="1"/>
  <c r="J24" i="8" s="1"/>
  <c r="J20" i="11"/>
  <c r="J23" i="11" s="1"/>
  <c r="J22" i="8"/>
  <c r="J16" i="8" l="1"/>
  <c r="J24" i="11"/>
  <c r="J18" i="11" s="1"/>
  <c r="J24" i="10"/>
  <c r="C17" i="8" l="1"/>
  <c r="C3" i="1" s="1"/>
  <c r="G17" i="8"/>
  <c r="C16" i="15" s="1"/>
  <c r="G18" i="8"/>
  <c r="J32" i="11"/>
  <c r="J39" i="11"/>
  <c r="J18" i="10" s="1"/>
  <c r="J22" i="11"/>
  <c r="J29" i="11" s="1"/>
  <c r="J14" i="11" s="1"/>
  <c r="J34" i="11" s="1"/>
  <c r="J21" i="10"/>
  <c r="C4" i="1" l="1"/>
  <c r="J37" i="11"/>
  <c r="J25" i="8"/>
  <c r="J28" i="8"/>
  <c r="J31" i="10"/>
  <c r="J15" i="11"/>
  <c r="J16" i="11" s="1"/>
  <c r="J30" i="11" s="1"/>
  <c r="C33" i="8"/>
  <c r="C15" i="15"/>
  <c r="C58" i="15" s="1"/>
  <c r="C18" i="8"/>
  <c r="J16" i="10" l="1"/>
  <c r="J15" i="10" s="1"/>
  <c r="J27" i="10" s="1"/>
  <c r="J29" i="10" s="1"/>
  <c r="J30" i="10" s="1"/>
  <c r="J32" i="10" s="1"/>
  <c r="B33" i="10" s="1"/>
  <c r="F4" i="1" s="1"/>
  <c r="J29" i="8"/>
  <c r="D60" i="15"/>
  <c r="D61" i="15"/>
  <c r="D58" i="15"/>
  <c r="E58" i="15" s="1"/>
  <c r="D59" i="15"/>
  <c r="D56" i="15"/>
  <c r="D57" i="15"/>
  <c r="C60" i="15"/>
  <c r="C61" i="15"/>
  <c r="C57" i="15"/>
  <c r="C59" i="15"/>
  <c r="C56" i="15"/>
  <c r="B52" i="15"/>
  <c r="B44" i="15"/>
  <c r="B48" i="15"/>
  <c r="B46" i="15"/>
  <c r="B50" i="15"/>
  <c r="B42" i="15"/>
  <c r="C30" i="8" l="1"/>
  <c r="C5" i="1" s="1"/>
  <c r="E60" i="15"/>
  <c r="E61" i="15"/>
  <c r="E59" i="15"/>
  <c r="E56" i="15"/>
  <c r="E57" i="15"/>
  <c r="C17" i="15" l="1"/>
  <c r="F56" i="15"/>
  <c r="F57" i="15"/>
  <c r="F60" i="15"/>
  <c r="F59" i="15"/>
  <c r="F61" i="15"/>
  <c r="F58" i="15"/>
  <c r="B65" i="15" l="1"/>
  <c r="B69" i="15"/>
  <c r="B66" i="15"/>
  <c r="B70" i="15"/>
  <c r="B67" i="15"/>
  <c r="B68" i="15"/>
  <c r="D65" i="15"/>
  <c r="D67" i="15"/>
  <c r="D69" i="15"/>
  <c r="E65" i="15"/>
  <c r="E67" i="15"/>
  <c r="E69" i="15"/>
  <c r="D66" i="15"/>
  <c r="D68" i="15"/>
  <c r="D70" i="15"/>
  <c r="E66" i="15"/>
  <c r="E68" i="15"/>
  <c r="E70" i="15"/>
  <c r="C69" i="15"/>
  <c r="C70" i="15"/>
  <c r="C68" i="15"/>
  <c r="C67" i="15"/>
  <c r="C66" i="15"/>
  <c r="C65" i="15"/>
</calcChain>
</file>

<file path=xl/comments1.xml><?xml version="1.0" encoding="utf-8"?>
<comments xmlns="http://schemas.openxmlformats.org/spreadsheetml/2006/main">
  <authors>
    <author>alfonso</author>
    <author>Alfonso Rodríguez Sandias</author>
    <author>Alfonso Rodriguez</author>
    <author>Alfonso Rodríguez</author>
    <author>ALFONSO R SANDIAS</author>
    <author>Alfonso</author>
  </authors>
  <commentList>
    <comment ref="B8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IPC previsto para el horizonte de planificación. Constante.</t>
        </r>
      </text>
    </comment>
    <comment ref="B9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Tasa del Impuesto de Sociedades.</t>
        </r>
      </text>
    </comment>
    <comment ref="B10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Tasa de Rentabilidad requerida, usada para el cálculo del VAN.</t>
        </r>
      </text>
    </comment>
    <comment ref="B11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Crecimiento previsto para el 8 año respecto del séptimo.</t>
        </r>
      </text>
    </comment>
    <comment ref="B12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Porcentaje del NOPAT que se reinvertirá a partir del año 7.</t>
        </r>
      </text>
    </comment>
    <comment ref="B15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Indique el nombre de cada elemento de Inmovilizado Material.</t>
        </r>
      </text>
    </comment>
    <comment ref="C15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Indique la cuantía. MS le aplicará el IPC correspondiente.</t>
        </r>
      </text>
    </comment>
    <comment ref="D15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Indique el año, desde 1 (momento inicial) a 8 (final del año 7).</t>
        </r>
      </text>
    </comment>
    <comment ref="E15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Indique el coeficiente de amortización anual.</t>
        </r>
      </text>
    </comment>
    <comment ref="F15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Indique el IVA correspondiente.</t>
        </r>
      </text>
    </comment>
    <comment ref="B36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Indique el nombre de cada elemento de Inmovilizado Intangible.</t>
        </r>
      </text>
    </comment>
    <comment ref="B49" authorId="3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Se refiere al porcentaje máximo que puede representar la deuda sobre el activo.</t>
        </r>
      </text>
    </comment>
    <comment ref="B50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Tipo de interés anual aplicado al endeudamiento.</t>
        </r>
      </text>
    </comment>
    <comment ref="B51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Tipo de reinversión al que se colocarán los excedentes.</t>
        </r>
      </text>
    </comment>
    <comment ref="B52" authorId="3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Se refiere al porcentaje de beneficios netos que se van a repartir como dividendos.</t>
        </r>
      </text>
    </comment>
    <comment ref="B55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Aportación inicial al Capital.</t>
        </r>
      </text>
    </comment>
    <comment ref="B56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Subvenciones de Capital. No se verán afectadas por el IPC.</t>
        </r>
      </text>
    </comment>
    <comment ref="G59" authorId="4">
      <text>
        <r>
          <rPr>
            <b/>
            <sz val="8"/>
            <color indexed="81"/>
            <rFont val="Tahoma"/>
            <family val="2"/>
          </rPr>
          <t>ALFONSO R SANDIAS:</t>
        </r>
        <r>
          <rPr>
            <sz val="8"/>
            <color indexed="81"/>
            <rFont val="Tahoma"/>
            <family val="2"/>
          </rPr>
          <t xml:space="preserve">
Porcentaje sobre el resto de ingresos.</t>
        </r>
      </text>
    </comment>
    <comment ref="B60" authorId="4">
      <text>
        <r>
          <rPr>
            <b/>
            <sz val="8"/>
            <color indexed="81"/>
            <rFont val="Tahoma"/>
            <family val="2"/>
          </rPr>
          <t>ALFONSO R SANDIAS:</t>
        </r>
        <r>
          <rPr>
            <sz val="8"/>
            <color indexed="81"/>
            <rFont val="Tahoma"/>
            <family val="2"/>
          </rPr>
          <t xml:space="preserve">
Año de inicio de cada línea.</t>
        </r>
      </text>
    </comment>
    <comment ref="B61" authorId="3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Precio de venta unitario inicial.</t>
        </r>
      </text>
    </comment>
    <comment ref="B62" authorId="3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Volúmen de ventas inicial.</t>
        </r>
      </text>
    </comment>
    <comment ref="B63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1 al 2.</t>
        </r>
      </text>
    </comment>
    <comment ref="B64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2 al 3.</t>
        </r>
      </text>
    </comment>
    <comment ref="B65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3 al 4.</t>
        </r>
      </text>
    </comment>
    <comment ref="B66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4 al 5.</t>
        </r>
      </text>
    </comment>
    <comment ref="B67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5 al 6.</t>
        </r>
      </text>
    </comment>
    <comment ref="B68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6 al 7.</t>
        </r>
      </text>
    </comment>
    <comment ref="B69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% que representan los costes de materiales sobre ingresos.</t>
        </r>
      </text>
    </comment>
    <comment ref="B70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% que representan los otros costes de esxplotación sobre ingresos.</t>
        </r>
      </text>
    </comment>
    <comment ref="B71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% que representan los costes de comercialización sobre ingresos.</t>
        </r>
      </text>
    </comment>
    <comment ref="B73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Subvenciones de explotación. No se verán afectadas por el IPC.</t>
        </r>
      </text>
    </comment>
    <comment ref="C76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Introduzca los importes de cada concepto de coste fijo para el primer año.</t>
        </r>
      </text>
    </comment>
    <comment ref="F76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Introduzca el incremento, en caso de producirse, en el año en que se produzca. A partir de ahí MS ya lo mantendrá. MS aplica IPC a estas cuantías.</t>
        </r>
      </text>
    </comment>
    <comment ref="B84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Sólo el primer año.</t>
        </r>
      </text>
    </comment>
    <comment ref="B85" authorId="5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Sobre personal, suministros y otros.</t>
        </r>
      </text>
    </comment>
    <comment ref="C88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Número de meses que se aplicará a cada partida del Fondo de Maniobra.</t>
        </r>
      </text>
    </comment>
    <comment ref="C97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Nivel de cada variable en el escenario pesimista.</t>
        </r>
      </text>
    </comment>
    <comment ref="D97" authorId="1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Nivel de cada variable en el escenario optimista.</t>
        </r>
      </text>
    </comment>
  </commentList>
</comments>
</file>

<file path=xl/comments2.xml><?xml version="1.0" encoding="utf-8"?>
<comments xmlns="http://schemas.openxmlformats.org/spreadsheetml/2006/main">
  <authors>
    <author>Alfonso Rodríguez</author>
    <author>Alfonso Rodriguez</author>
  </authors>
  <commentList>
    <comment ref="H2" authorId="0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Dato necesario para la simulación de escenarios.</t>
        </r>
      </text>
    </comment>
    <comment ref="G3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La estimación inicial se corrige con el nivel de inversión, para permitir sensibilizar el resultado. Además se aplica la inflación.</t>
        </r>
      </text>
    </comment>
  </commentList>
</comments>
</file>

<file path=xl/comments3.xml><?xml version="1.0" encoding="utf-8"?>
<comments xmlns="http://schemas.openxmlformats.org/spreadsheetml/2006/main">
  <authors>
    <author>Alfonso Rodríguez Sandias</author>
    <author>Alfonso</author>
    <author>Alfonso Rodriguez</author>
  </authors>
  <commentList>
    <comment ref="B1" authorId="0">
      <text>
        <r>
          <rPr>
            <b/>
            <sz val="9"/>
            <color indexed="81"/>
            <rFont val="Tahoma"/>
            <family val="2"/>
          </rPr>
          <t>Alfonso Rodríguez Sandias:</t>
        </r>
        <r>
          <rPr>
            <sz val="9"/>
            <color indexed="81"/>
            <rFont val="Tahoma"/>
            <family val="2"/>
          </rPr>
          <t xml:space="preserve">
Datos necesarios para la simulación de escenarios</t>
        </r>
      </text>
    </comment>
    <comment ref="E15" authorId="1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E21" authorId="1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E27" authorId="1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E33" authorId="1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E38" authorId="1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C41" authorId="1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de la combinación de lineas. Nominal</t>
        </r>
      </text>
    </comment>
    <comment ref="C56" authorId="2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Dato base para el cálculo de cada item. Porcentaje sobre ingresos de cada producto.</t>
        </r>
      </text>
    </comment>
  </commentList>
</comments>
</file>

<file path=xl/comments4.xml><?xml version="1.0" encoding="utf-8"?>
<comments xmlns="http://schemas.openxmlformats.org/spreadsheetml/2006/main">
  <authors>
    <author>Alfonso Rodriguez</author>
    <author>ALFONSO R SANDIAS</author>
  </authors>
  <commentList>
    <comment ref="C3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Balance  inicio</t>
        </r>
      </text>
    </comment>
    <comment ref="D3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Balance al cierre del primer año</t>
        </r>
      </text>
    </comment>
    <comment ref="B32" authorId="1">
      <text>
        <r>
          <rPr>
            <b/>
            <sz val="8"/>
            <color indexed="81"/>
            <rFont val="Tahoma"/>
            <family val="2"/>
          </rPr>
          <t>ALFONSO R SANDIAS:</t>
        </r>
        <r>
          <rPr>
            <sz val="8"/>
            <color indexed="81"/>
            <rFont val="Tahoma"/>
            <family val="2"/>
          </rPr>
          <t xml:space="preserve">
Deuda sobre activo, menos excedente de tesorería.</t>
        </r>
      </text>
    </comment>
  </commentList>
</comments>
</file>

<file path=xl/comments5.xml><?xml version="1.0" encoding="utf-8"?>
<comments xmlns="http://schemas.openxmlformats.org/spreadsheetml/2006/main">
  <authors>
    <author>Alfonso Rodriguez</author>
  </authors>
  <commentList>
    <comment ref="C10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Principio primer año de operaciones</t>
        </r>
      </text>
    </comment>
    <comment ref="D10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Primer año de operaciones</t>
        </r>
      </text>
    </comment>
  </commentList>
</comments>
</file>

<file path=xl/comments6.xml><?xml version="1.0" encoding="utf-8"?>
<comments xmlns="http://schemas.openxmlformats.org/spreadsheetml/2006/main">
  <authors>
    <author>ALFONSO R SANDIAS</author>
  </authors>
  <commentList>
    <comment ref="B9" authorId="0">
      <text>
        <r>
          <rPr>
            <b/>
            <sz val="8"/>
            <color indexed="81"/>
            <rFont val="Tahoma"/>
            <family val="2"/>
          </rPr>
          <t>ALFONSO R SANDIAS:</t>
        </r>
        <r>
          <rPr>
            <sz val="8"/>
            <color indexed="81"/>
            <rFont val="Tahoma"/>
            <family val="2"/>
          </rPr>
          <t xml:space="preserve">
Los costes fijos incluyen la amortización del activo.</t>
        </r>
      </text>
    </comment>
  </commentList>
</comments>
</file>

<file path=xl/sharedStrings.xml><?xml version="1.0" encoding="utf-8"?>
<sst xmlns="http://schemas.openxmlformats.org/spreadsheetml/2006/main" count="338" uniqueCount="251">
  <si>
    <t>AÑO</t>
  </si>
  <si>
    <t>CUANTIA</t>
  </si>
  <si>
    <t>IPC</t>
  </si>
  <si>
    <t>COSTES FIJOS</t>
  </si>
  <si>
    <t>TOTAL FIJOS</t>
  </si>
  <si>
    <t>COSTES VARIABLES</t>
  </si>
  <si>
    <t>TOTAL VARIABLES</t>
  </si>
  <si>
    <t>INGRESOS</t>
  </si>
  <si>
    <t>INGRESOS TOTALES</t>
  </si>
  <si>
    <t>Año</t>
  </si>
  <si>
    <t>Estimación</t>
  </si>
  <si>
    <t>AMORTIZACIÓN</t>
  </si>
  <si>
    <t>Coef.</t>
  </si>
  <si>
    <t>Escenarios</t>
  </si>
  <si>
    <t>Elección</t>
  </si>
  <si>
    <t>IVA</t>
  </si>
  <si>
    <t>TOTAL</t>
  </si>
  <si>
    <t>Consumo de Materiales</t>
  </si>
  <si>
    <t>Compras de materiales</t>
  </si>
  <si>
    <t>Existencias de materiales</t>
  </si>
  <si>
    <t>Ratio de endeudamiento</t>
  </si>
  <si>
    <t>Cuadre de balance</t>
  </si>
  <si>
    <t>NOPAT</t>
  </si>
  <si>
    <t>Linea A</t>
  </si>
  <si>
    <t>Linea B</t>
  </si>
  <si>
    <t>Linea C</t>
  </si>
  <si>
    <t>Linea D</t>
  </si>
  <si>
    <t>Linea E</t>
  </si>
  <si>
    <t>Cuadro de Amortización Anual</t>
  </si>
  <si>
    <t>RESUMEN ANUAL DE INVERSIONES</t>
  </si>
  <si>
    <t>Chequeo</t>
  </si>
  <si>
    <t>INMOVILIZADO INTANGIBLE</t>
  </si>
  <si>
    <t>AMORTIZACIÓN INMOVILIZADO INTANGIBLE</t>
  </si>
  <si>
    <t>Dato base</t>
  </si>
  <si>
    <t>Fondo de Maniobra Operativo</t>
  </si>
  <si>
    <t xml:space="preserve">Crecimiento </t>
  </si>
  <si>
    <t>Inmv. Intang. 1</t>
  </si>
  <si>
    <t>Inmv. Intang. 2</t>
  </si>
  <si>
    <t>Inmv. Intang. 3</t>
  </si>
  <si>
    <t>Inmv. Intang. 4</t>
  </si>
  <si>
    <t>Inmv. Intang. 5</t>
  </si>
  <si>
    <t>Inmv. Intang. 6</t>
  </si>
  <si>
    <t>Inmv. Intang. 7</t>
  </si>
  <si>
    <t>Inmv. Intang. 8</t>
  </si>
  <si>
    <t>Inmv. Intang. 9</t>
  </si>
  <si>
    <t>Inmv. Intang. 10</t>
  </si>
  <si>
    <t>Inicial</t>
  </si>
  <si>
    <t>COEF AMORT</t>
  </si>
  <si>
    <t>Existencias de producto terminado</t>
  </si>
  <si>
    <t>Consumos de otros de explotación</t>
  </si>
  <si>
    <t>Chequeo tesorería</t>
  </si>
  <si>
    <t>% de costes que se activarán</t>
  </si>
  <si>
    <t>TIR</t>
  </si>
  <si>
    <t>Optimista</t>
  </si>
  <si>
    <t>Pesimista</t>
  </si>
  <si>
    <t>Diferencia</t>
  </si>
  <si>
    <t>Tabla para gráfico de tornado</t>
  </si>
  <si>
    <t>Tabla reordenada</t>
  </si>
  <si>
    <t>Inversión</t>
  </si>
  <si>
    <t>Precio</t>
  </si>
  <si>
    <t>Costes</t>
  </si>
  <si>
    <t>Crecimiento</t>
  </si>
  <si>
    <t>Subvenciones</t>
  </si>
  <si>
    <t>Nivel de Actividad</t>
  </si>
  <si>
    <t>Orden</t>
  </si>
  <si>
    <t>Base</t>
  </si>
  <si>
    <t>Sensibilidad del VAN a cada variable</t>
  </si>
  <si>
    <t>Escenario</t>
  </si>
  <si>
    <t>VAN</t>
  </si>
  <si>
    <t>Tasa Impositiva</t>
  </si>
  <si>
    <t>Tasa de Rentabilidad Requerida</t>
  </si>
  <si>
    <t>Crecimiento Residual</t>
  </si>
  <si>
    <t>Deuda  Máxima</t>
  </si>
  <si>
    <t>Coste Deuda</t>
  </si>
  <si>
    <t>Interés Activo</t>
  </si>
  <si>
    <t>Dividendos</t>
  </si>
  <si>
    <t>Capital</t>
  </si>
  <si>
    <t>Subvenciones de Capital</t>
  </si>
  <si>
    <t>Inicio Línea</t>
  </si>
  <si>
    <t>Precio de Venta Inicial</t>
  </si>
  <si>
    <t>Unidades de Venta Iniciales</t>
  </si>
  <si>
    <t>Crecimiento (1-2)</t>
  </si>
  <si>
    <t>Crecimiento (2-3)</t>
  </si>
  <si>
    <t>Crecimiento (3-4)</t>
  </si>
  <si>
    <t>Crecimiento (4-5)</t>
  </si>
  <si>
    <t>Crecimiento (5-6)</t>
  </si>
  <si>
    <t>Crecimiento (6-7)</t>
  </si>
  <si>
    <t xml:space="preserve">Coste de Materiales (%) </t>
  </si>
  <si>
    <t>Otros costes de Explotación (%)</t>
  </si>
  <si>
    <t>Coste de Comercialización (%)</t>
  </si>
  <si>
    <t>Subvenciones de Explotación</t>
  </si>
  <si>
    <t>Personal</t>
  </si>
  <si>
    <t>Suministros</t>
  </si>
  <si>
    <t>Gastos Generales</t>
  </si>
  <si>
    <t>Alquileres</t>
  </si>
  <si>
    <t>Seguros y Tributos</t>
  </si>
  <si>
    <t>Otros</t>
  </si>
  <si>
    <t>Gastos de Apertura</t>
  </si>
  <si>
    <t>Meses</t>
  </si>
  <si>
    <t>Pago a Proveedores</t>
  </si>
  <si>
    <t>Pago a Acreedores</t>
  </si>
  <si>
    <t>Cobros</t>
  </si>
  <si>
    <t>Almacén Materias Primas</t>
  </si>
  <si>
    <t>Almacén Productos Terminados</t>
  </si>
  <si>
    <t>Tesorería Operativa</t>
  </si>
  <si>
    <t>Volúmen de Actividad</t>
  </si>
  <si>
    <t>Precios</t>
  </si>
  <si>
    <t>INMOVILIZADO MATERIAL</t>
  </si>
  <si>
    <t>1. DATOS GENERALES</t>
  </si>
  <si>
    <t>2. INVERSIONES</t>
  </si>
  <si>
    <t>3. FINANCIACIÓN</t>
  </si>
  <si>
    <t>4. LINEAS DE NEGOCIO</t>
  </si>
  <si>
    <t>5. COSTES FIJOS</t>
  </si>
  <si>
    <t>6. FONDO DE MANIOBRA</t>
  </si>
  <si>
    <t>7. ESCENARIOS</t>
  </si>
  <si>
    <t>Incrementos</t>
  </si>
  <si>
    <t>Costes Activados 1</t>
  </si>
  <si>
    <t>Costes Activados 2</t>
  </si>
  <si>
    <t>Costes Activados 3</t>
  </si>
  <si>
    <t>Costes Activados 4</t>
  </si>
  <si>
    <t>Costes Activados 5</t>
  </si>
  <si>
    <t>Costes Activados 6</t>
  </si>
  <si>
    <t>Costes Activados 7</t>
  </si>
  <si>
    <t>AMORTIZACIÓN INMOVILIZADO MATERIAL</t>
  </si>
  <si>
    <t>Financiación</t>
  </si>
  <si>
    <t>TOTAL FIJOS MÁS VARIABLES</t>
  </si>
  <si>
    <t>EXISTENCIAS, COMPRAS Y CONSUMOS</t>
  </si>
  <si>
    <t>Coste de Materias Primas</t>
  </si>
  <si>
    <t>Otros Costes de Explotación</t>
  </si>
  <si>
    <t>Costes de Comercialización</t>
  </si>
  <si>
    <t>Ingresos</t>
  </si>
  <si>
    <t>Unidades</t>
  </si>
  <si>
    <t xml:space="preserve">Materiales(%) </t>
  </si>
  <si>
    <t>Otros costes de explotación (%)</t>
  </si>
  <si>
    <t>Comercialización(%)</t>
  </si>
  <si>
    <t>Materiales en Inventario Pdto. Tdo.</t>
  </si>
  <si>
    <t xml:space="preserve">Otros costes de expl. en Inventario Pdto. Tdo </t>
  </si>
  <si>
    <t>Consumo Otros C. Explot más C. De Comerc.</t>
  </si>
  <si>
    <t>Ingresos de Explotación</t>
  </si>
  <si>
    <t>Total Ingresos</t>
  </si>
  <si>
    <t>Costes Variables</t>
  </si>
  <si>
    <t>Costes Fijos</t>
  </si>
  <si>
    <t>Amortización</t>
  </si>
  <si>
    <t>Imputación de subvenciones</t>
  </si>
  <si>
    <t>Resultado de Explotación</t>
  </si>
  <si>
    <t>Ingresos Financieros</t>
  </si>
  <si>
    <t>Gastos Financieros</t>
  </si>
  <si>
    <t>Resultado Antes de Impuestos</t>
  </si>
  <si>
    <t>Impuestos</t>
  </si>
  <si>
    <t>Resultado del Ejercicio</t>
  </si>
  <si>
    <t>Base Imponible</t>
  </si>
  <si>
    <t>Inmovilizado Material</t>
  </si>
  <si>
    <t>(Amort. Acum. In. Mat.)</t>
  </si>
  <si>
    <t>Inmovilizado Intangible</t>
  </si>
  <si>
    <t>(Amort. Acum. In. Int.)</t>
  </si>
  <si>
    <t>Activo No Corriente</t>
  </si>
  <si>
    <t>Existencias Producto Terminado</t>
  </si>
  <si>
    <t>Existencias Materias Primas</t>
  </si>
  <si>
    <t>Cuentas  Cobrar</t>
  </si>
  <si>
    <t>Hacienda deudora por IVA</t>
  </si>
  <si>
    <t>Excedente de Tesorería</t>
  </si>
  <si>
    <t>Activo Corriente</t>
  </si>
  <si>
    <t>Total Activo</t>
  </si>
  <si>
    <t>Reservas</t>
  </si>
  <si>
    <t>Patrimonio Neto</t>
  </si>
  <si>
    <t>Deuda</t>
  </si>
  <si>
    <t>Pasivo No Corriente</t>
  </si>
  <si>
    <t>Cuentas a Pagar a Proveedores</t>
  </si>
  <si>
    <t>Otras Cuentas a Pagar</t>
  </si>
  <si>
    <t>Hacienda Acreedora</t>
  </si>
  <si>
    <t>Pasivo Corriente</t>
  </si>
  <si>
    <t>TotalPatrimonio Neto y Pasivo</t>
  </si>
  <si>
    <t>Cobros Operativos</t>
  </si>
  <si>
    <t>Cobros de Ventas</t>
  </si>
  <si>
    <t>Pagos Operativos</t>
  </si>
  <si>
    <t>Materias Primas</t>
  </si>
  <si>
    <t>Otros de Explotación y Comercialización</t>
  </si>
  <si>
    <t>Variaciones en Tesorería Operativa</t>
  </si>
  <si>
    <t>Cash Flow Operativo</t>
  </si>
  <si>
    <t>Cobros ExtraOperativos</t>
  </si>
  <si>
    <t>Devolución IVA Hacienda</t>
  </si>
  <si>
    <t>Pagos ExtraOperativos</t>
  </si>
  <si>
    <t>Inversiones</t>
  </si>
  <si>
    <t>IVA Soportado</t>
  </si>
  <si>
    <t>Nueva Deuda</t>
  </si>
  <si>
    <t>Amortización Deuda</t>
  </si>
  <si>
    <t>Cash Flow ExtraOperativo</t>
  </si>
  <si>
    <t>Excedente de Tesorería Acumulada</t>
  </si>
  <si>
    <t>Excedente de Tesorería, según Balance</t>
  </si>
  <si>
    <t>Deuda Neta</t>
  </si>
  <si>
    <t xml:space="preserve">  -  Inversiones en Inmovilizado</t>
  </si>
  <si>
    <t xml:space="preserve">  + Valor en Continuidad</t>
  </si>
  <si>
    <t>Flujo Neto de Caja del Proyecto</t>
  </si>
  <si>
    <t>TIR Modificada =</t>
  </si>
  <si>
    <t>Resultados del Proyecto</t>
  </si>
  <si>
    <t>Resultados del Capital</t>
  </si>
  <si>
    <t xml:space="preserve">  + Amortización</t>
  </si>
  <si>
    <t xml:space="preserve">  - Ajuste Fondo de Maniobra Operativo</t>
  </si>
  <si>
    <t xml:space="preserve"> + Ajuste Deuda Neta</t>
  </si>
  <si>
    <t xml:space="preserve"> + Ajuste Subvención</t>
  </si>
  <si>
    <t xml:space="preserve"> + Valor en Continuidad</t>
  </si>
  <si>
    <t>Margen Bruto</t>
  </si>
  <si>
    <t>Costes Totales</t>
  </si>
  <si>
    <t>Equilibrio en %</t>
  </si>
  <si>
    <t>Equilibrio en Euros</t>
  </si>
  <si>
    <t>Costes Fijos Imputados</t>
  </si>
  <si>
    <t>Excedente de Tesorería Anual</t>
  </si>
  <si>
    <t>Indice</t>
  </si>
  <si>
    <t>Tasa</t>
  </si>
  <si>
    <t>Interés activo =</t>
  </si>
  <si>
    <t>Costes Fijos Activados</t>
  </si>
  <si>
    <t>Reinversión Residual</t>
  </si>
  <si>
    <t>Crecimiento Residual =</t>
  </si>
  <si>
    <t>Reinversión Residual =</t>
  </si>
  <si>
    <t>Flujo Neto de Caja del Capital</t>
  </si>
  <si>
    <t>Tasa de Rentabilidad Requerida =</t>
  </si>
  <si>
    <t>Rentabilidad Residual implícita =</t>
  </si>
  <si>
    <t>VAN =</t>
  </si>
  <si>
    <t>Indice de Rentabilidad Neto =</t>
  </si>
  <si>
    <t>TIR =</t>
  </si>
  <si>
    <t>TIR del Capital =</t>
  </si>
  <si>
    <t>TIR del Capital</t>
  </si>
  <si>
    <t>Proyecto:</t>
  </si>
  <si>
    <t>Ejemplo MS</t>
  </si>
  <si>
    <t>Nivel precio</t>
  </si>
  <si>
    <t>Nivel actividad</t>
  </si>
  <si>
    <t>Nivel crecimiento</t>
  </si>
  <si>
    <t>Nivel costes</t>
  </si>
  <si>
    <t>Porcentaje</t>
  </si>
  <si>
    <t>Nivel inversión</t>
  </si>
  <si>
    <t>Inicio</t>
  </si>
  <si>
    <t>Inmv. Mat. 1</t>
  </si>
  <si>
    <t>Inmv. Mat. 2</t>
  </si>
  <si>
    <t>Inmv. Mat. 3</t>
  </si>
  <si>
    <t>Inmv. Mat. 4</t>
  </si>
  <si>
    <t>Inmv. Mat. 5</t>
  </si>
  <si>
    <t>Inmv. Mat. 6</t>
  </si>
  <si>
    <t>Inmv. Mat. 7</t>
  </si>
  <si>
    <t>Inmv. Mat. 8</t>
  </si>
  <si>
    <t>Inmv. Mat. 9</t>
  </si>
  <si>
    <t>Inmv. Mat. 10</t>
  </si>
  <si>
    <t>Inmv. Mat. 11</t>
  </si>
  <si>
    <t>Inmv. Mat. 12</t>
  </si>
  <si>
    <t>Inmv. Mat. 13</t>
  </si>
  <si>
    <t>Inmv. Mat. 14</t>
  </si>
  <si>
    <t>Inmv. Mat. 15</t>
  </si>
  <si>
    <t>Inmv. Mat. 16</t>
  </si>
  <si>
    <t>Inmv. Mat. 17</t>
  </si>
  <si>
    <t>Inmv. Mat. 18</t>
  </si>
  <si>
    <t>Inmv. Mat. 19</t>
  </si>
  <si>
    <t>Inmv. Mat.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</si>
</sst>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164" formatCode="_-* #,##0\ _P_t_s_-;\-* #,##0\ _P_t_s_-;_-* &quot;-&quot;\ _P_t_s_-;_-@_-"/>
    <numFmt numFmtId="165" formatCode="0.0%"/>
    <numFmt numFmtId="166" formatCode="0.000"/>
    <numFmt numFmtId="167" formatCode="#,##0&quot; Eur&quot;;\-#,##0&quot; Eur&quot;"/>
    <numFmt numFmtId="168" formatCode="#,##0.0&quot; Euros&quot;;\-#,##0.0&quot; Euros&quot;"/>
    <numFmt numFmtId="169" formatCode="&quot;DIC-&quot;####"/>
    <numFmt numFmtId="170" formatCode="&quot;- &quot;\ General"/>
    <numFmt numFmtId="171" formatCode="&quot;Enero&quot;\ ####"/>
    <numFmt numFmtId="172" formatCode="&quot;Mes inicio = &quot;\ #"/>
    <numFmt numFmtId="173" formatCode="[$-C0A]mmmmm;@"/>
    <numFmt numFmtId="174" formatCode="#,##0_ ;\-#,##0\ "/>
    <numFmt numFmtId="175" formatCode="#,##0.0&quot; Eur&quot;;\-#,##0.0&quot; Eur&quot;"/>
    <numFmt numFmtId="176" formatCode="&quot;Ingresos&quot;"/>
    <numFmt numFmtId="177" formatCode="&quot;Costes Fijos&quot;"/>
    <numFmt numFmtId="178" formatCode="&quot;Costes Totales&quot;"/>
    <numFmt numFmtId="179" formatCode="&quot;Nivel de actividad&quot;"/>
    <numFmt numFmtId="180" formatCode="&quot;VAN&quot;"/>
    <numFmt numFmtId="181" formatCode="&quot;TIR&quot;"/>
    <numFmt numFmtId="182" formatCode="&quot;TIR del Capital&quot;"/>
  </numFmts>
  <fonts count="16" x14ac:knownFonts="1"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0"/>
      <color indexed="12"/>
      <name val="Arial"/>
      <family val="2"/>
    </font>
    <font>
      <sz val="8"/>
      <color indexed="9"/>
      <name val="Arial"/>
      <family val="2"/>
    </font>
    <font>
      <b/>
      <sz val="8"/>
      <color indexed="10"/>
      <name val="Arial"/>
      <family val="2"/>
    </font>
    <font>
      <b/>
      <sz val="8"/>
      <color indexed="9"/>
      <name val="Arial"/>
      <family val="2"/>
    </font>
    <font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2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0" xfId="0" applyFont="1"/>
    <xf numFmtId="0" fontId="3" fillId="0" borderId="1" xfId="0" applyFont="1" applyBorder="1"/>
    <xf numFmtId="1" fontId="3" fillId="0" borderId="0" xfId="0" applyNumberFormat="1" applyFont="1" applyBorder="1"/>
    <xf numFmtId="0" fontId="2" fillId="0" borderId="0" xfId="0" applyFont="1" applyBorder="1"/>
    <xf numFmtId="0" fontId="3" fillId="2" borderId="0" xfId="0" applyFont="1" applyFill="1"/>
    <xf numFmtId="0" fontId="2" fillId="0" borderId="1" xfId="0" applyFont="1" applyBorder="1"/>
    <xf numFmtId="0" fontId="2" fillId="3" borderId="0" xfId="0" applyFont="1" applyFill="1"/>
    <xf numFmtId="0" fontId="3" fillId="0" borderId="0" xfId="0" applyFont="1" applyBorder="1" applyAlignment="1">
      <alignment horizontal="right"/>
    </xf>
    <xf numFmtId="0" fontId="2" fillId="0" borderId="2" xfId="0" applyFont="1" applyBorder="1"/>
    <xf numFmtId="0" fontId="2" fillId="0" borderId="0" xfId="0" applyFont="1" applyFill="1"/>
    <xf numFmtId="0" fontId="3" fillId="0" borderId="0" xfId="0" applyFont="1" applyFill="1"/>
    <xf numFmtId="0" fontId="2" fillId="0" borderId="0" xfId="0" applyFont="1" applyFill="1" applyBorder="1"/>
    <xf numFmtId="0" fontId="3" fillId="0" borderId="0" xfId="0" applyFont="1" applyFill="1" applyBorder="1"/>
    <xf numFmtId="0" fontId="2" fillId="2" borderId="0" xfId="0" applyFont="1" applyFill="1" applyBorder="1"/>
    <xf numFmtId="0" fontId="3" fillId="3" borderId="0" xfId="0" applyFont="1" applyFill="1"/>
    <xf numFmtId="9" fontId="3" fillId="0" borderId="0" xfId="0" applyNumberFormat="1" applyFont="1"/>
    <xf numFmtId="167" fontId="2" fillId="0" borderId="0" xfId="0" applyNumberFormat="1" applyFont="1" applyFill="1"/>
    <xf numFmtId="1" fontId="3" fillId="0" borderId="0" xfId="0" applyNumberFormat="1" applyFont="1" applyFill="1" applyBorder="1"/>
    <xf numFmtId="0" fontId="2" fillId="4" borderId="0" xfId="0" applyFont="1" applyFill="1" applyBorder="1"/>
    <xf numFmtId="0" fontId="2" fillId="3" borderId="0" xfId="0" applyFont="1" applyFill="1" applyBorder="1"/>
    <xf numFmtId="0" fontId="2" fillId="3" borderId="0" xfId="0" applyFont="1" applyFill="1" applyBorder="1" applyAlignment="1">
      <alignment horizontal="right"/>
    </xf>
    <xf numFmtId="9" fontId="2" fillId="3" borderId="0" xfId="3" applyFont="1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3" fontId="3" fillId="0" borderId="0" xfId="0" applyNumberFormat="1" applyFont="1"/>
    <xf numFmtId="3" fontId="3" fillId="0" borderId="0" xfId="0" applyNumberFormat="1" applyFont="1" applyBorder="1"/>
    <xf numFmtId="0" fontId="3" fillId="2" borderId="0" xfId="0" applyFont="1" applyFill="1" applyBorder="1"/>
    <xf numFmtId="1" fontId="3" fillId="2" borderId="0" xfId="0" applyNumberFormat="1" applyFont="1" applyFill="1" applyBorder="1"/>
    <xf numFmtId="3" fontId="3" fillId="0" borderId="0" xfId="0" applyNumberFormat="1" applyFont="1" applyFill="1" applyBorder="1"/>
    <xf numFmtId="0" fontId="3" fillId="0" borderId="5" xfId="0" applyFont="1" applyFill="1" applyBorder="1"/>
    <xf numFmtId="0" fontId="3" fillId="0" borderId="6" xfId="0" applyFont="1" applyFill="1" applyBorder="1"/>
    <xf numFmtId="3" fontId="2" fillId="3" borderId="0" xfId="0" applyNumberFormat="1" applyFont="1" applyFill="1" applyBorder="1" applyAlignment="1">
      <alignment horizontal="center"/>
    </xf>
    <xf numFmtId="0" fontId="3" fillId="0" borderId="0" xfId="0" applyFont="1" applyBorder="1"/>
    <xf numFmtId="0" fontId="2" fillId="2" borderId="0" xfId="0" applyFont="1" applyFill="1" applyBorder="1" applyAlignment="1">
      <alignment horizontal="center"/>
    </xf>
    <xf numFmtId="0" fontId="2" fillId="0" borderId="7" xfId="0" applyFont="1" applyBorder="1" applyAlignment="1">
      <alignment horizontal="right"/>
    </xf>
    <xf numFmtId="0" fontId="3" fillId="0" borderId="8" xfId="0" applyFont="1" applyBorder="1"/>
    <xf numFmtId="0" fontId="3" fillId="0" borderId="9" xfId="0" applyFont="1" applyBorder="1"/>
    <xf numFmtId="0" fontId="2" fillId="0" borderId="10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3" fillId="0" borderId="11" xfId="0" applyFont="1" applyBorder="1"/>
    <xf numFmtId="0" fontId="3" fillId="0" borderId="12" xfId="0" applyFont="1" applyBorder="1"/>
    <xf numFmtId="2" fontId="2" fillId="2" borderId="0" xfId="0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3" fillId="0" borderId="7" xfId="0" applyFont="1" applyBorder="1"/>
    <xf numFmtId="0" fontId="9" fillId="0" borderId="0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right"/>
    </xf>
    <xf numFmtId="165" fontId="2" fillId="0" borderId="0" xfId="3" applyNumberFormat="1" applyFont="1" applyBorder="1" applyAlignment="1">
      <alignment horizontal="center"/>
    </xf>
    <xf numFmtId="165" fontId="3" fillId="0" borderId="0" xfId="3" applyNumberFormat="1" applyFont="1" applyFill="1" applyBorder="1" applyAlignment="1">
      <alignment horizontal="center"/>
    </xf>
    <xf numFmtId="165" fontId="2" fillId="0" borderId="1" xfId="3" applyNumberFormat="1" applyFont="1" applyBorder="1" applyAlignment="1">
      <alignment horizontal="center"/>
    </xf>
    <xf numFmtId="0" fontId="2" fillId="0" borderId="13" xfId="0" applyFont="1" applyFill="1" applyBorder="1"/>
    <xf numFmtId="0" fontId="2" fillId="3" borderId="11" xfId="0" applyFont="1" applyFill="1" applyBorder="1"/>
    <xf numFmtId="0" fontId="2" fillId="3" borderId="7" xfId="0" applyFont="1" applyFill="1" applyBorder="1"/>
    <xf numFmtId="0" fontId="2" fillId="0" borderId="7" xfId="0" applyFont="1" applyBorder="1"/>
    <xf numFmtId="0" fontId="2" fillId="0" borderId="7" xfId="0" applyFont="1" applyFill="1" applyBorder="1"/>
    <xf numFmtId="0" fontId="2" fillId="0" borderId="10" xfId="0" applyFont="1" applyBorder="1"/>
    <xf numFmtId="0" fontId="2" fillId="0" borderId="1" xfId="0" applyFont="1" applyFill="1" applyBorder="1"/>
    <xf numFmtId="0" fontId="2" fillId="3" borderId="1" xfId="0" applyFont="1" applyFill="1" applyBorder="1"/>
    <xf numFmtId="0" fontId="3" fillId="0" borderId="13" xfId="0" applyFont="1" applyBorder="1"/>
    <xf numFmtId="0" fontId="2" fillId="0" borderId="14" xfId="0" applyFont="1" applyFill="1" applyBorder="1"/>
    <xf numFmtId="0" fontId="2" fillId="0" borderId="15" xfId="0" applyFont="1" applyFill="1" applyBorder="1"/>
    <xf numFmtId="10" fontId="2" fillId="0" borderId="0" xfId="0" applyNumberFormat="1" applyFont="1" applyBorder="1" applyAlignment="1">
      <alignment horizontal="left"/>
    </xf>
    <xf numFmtId="164" fontId="2" fillId="0" borderId="0" xfId="2" applyFont="1" applyBorder="1" applyAlignment="1">
      <alignment horizontal="left"/>
    </xf>
    <xf numFmtId="164" fontId="2" fillId="0" borderId="8" xfId="2" applyFont="1" applyBorder="1" applyAlignment="1">
      <alignment horizontal="left"/>
    </xf>
    <xf numFmtId="0" fontId="2" fillId="0" borderId="7" xfId="0" applyFont="1" applyFill="1" applyBorder="1" applyAlignment="1">
      <alignment horizontal="right"/>
    </xf>
    <xf numFmtId="0" fontId="3" fillId="0" borderId="7" xfId="0" applyFont="1" applyFill="1" applyBorder="1"/>
    <xf numFmtId="0" fontId="3" fillId="0" borderId="10" xfId="0" applyFont="1" applyBorder="1"/>
    <xf numFmtId="0" fontId="3" fillId="0" borderId="7" xfId="0" applyFont="1" applyBorder="1" applyAlignment="1">
      <alignment horizontal="right"/>
    </xf>
    <xf numFmtId="0" fontId="2" fillId="3" borderId="7" xfId="0" applyFont="1" applyFill="1" applyBorder="1" applyAlignment="1">
      <alignment horizontal="right"/>
    </xf>
    <xf numFmtId="0" fontId="2" fillId="3" borderId="10" xfId="0" applyFont="1" applyFill="1" applyBorder="1" applyAlignment="1">
      <alignment horizontal="right"/>
    </xf>
    <xf numFmtId="10" fontId="2" fillId="0" borderId="11" xfId="0" applyNumberFormat="1" applyFont="1" applyBorder="1" applyAlignment="1">
      <alignment horizontal="left"/>
    </xf>
    <xf numFmtId="0" fontId="0" fillId="0" borderId="0" xfId="0" applyBorder="1"/>
    <xf numFmtId="0" fontId="3" fillId="0" borderId="13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8" xfId="0" applyFont="1" applyFill="1" applyBorder="1"/>
    <xf numFmtId="0" fontId="3" fillId="0" borderId="10" xfId="0" applyFont="1" applyFill="1" applyBorder="1"/>
    <xf numFmtId="0" fontId="3" fillId="0" borderId="1" xfId="0" applyFont="1" applyFill="1" applyBorder="1"/>
    <xf numFmtId="0" fontId="3" fillId="0" borderId="9" xfId="0" applyFont="1" applyFill="1" applyBorder="1"/>
    <xf numFmtId="2" fontId="3" fillId="0" borderId="0" xfId="0" applyNumberFormat="1" applyFont="1" applyFill="1" applyBorder="1"/>
    <xf numFmtId="0" fontId="3" fillId="0" borderId="10" xfId="0" applyFont="1" applyBorder="1" applyAlignment="1">
      <alignment horizontal="right"/>
    </xf>
    <xf numFmtId="3" fontId="3" fillId="3" borderId="9" xfId="0" applyNumberFormat="1" applyFont="1" applyFill="1" applyBorder="1"/>
    <xf numFmtId="0" fontId="2" fillId="2" borderId="0" xfId="0" applyFont="1" applyFill="1" applyBorder="1" applyAlignment="1">
      <alignment horizontal="right"/>
    </xf>
    <xf numFmtId="9" fontId="2" fillId="0" borderId="0" xfId="3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169" fontId="2" fillId="0" borderId="0" xfId="0" applyNumberFormat="1" applyFont="1" applyFill="1" applyBorder="1"/>
    <xf numFmtId="0" fontId="0" fillId="0" borderId="1" xfId="0" applyBorder="1"/>
    <xf numFmtId="0" fontId="2" fillId="0" borderId="17" xfId="0" applyFont="1" applyFill="1" applyBorder="1"/>
    <xf numFmtId="0" fontId="2" fillId="3" borderId="20" xfId="0" applyFont="1" applyFill="1" applyBorder="1"/>
    <xf numFmtId="0" fontId="3" fillId="0" borderId="0" xfId="0" applyFont="1" applyAlignment="1">
      <alignment horizontal="right"/>
    </xf>
    <xf numFmtId="165" fontId="3" fillId="0" borderId="0" xfId="3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0" fontId="3" fillId="0" borderId="0" xfId="3" applyNumberFormat="1" applyFont="1"/>
    <xf numFmtId="165" fontId="3" fillId="0" borderId="0" xfId="3" applyNumberFormat="1" applyFont="1"/>
    <xf numFmtId="0" fontId="2" fillId="3" borderId="1" xfId="0" applyFont="1" applyFill="1" applyBorder="1" applyAlignment="1">
      <alignment horizontal="right"/>
    </xf>
    <xf numFmtId="165" fontId="2" fillId="6" borderId="0" xfId="3" applyNumberFormat="1" applyFont="1" applyFill="1" applyBorder="1" applyAlignment="1">
      <alignment horizontal="center"/>
    </xf>
    <xf numFmtId="0" fontId="2" fillId="0" borderId="2" xfId="0" applyFont="1" applyFill="1" applyBorder="1"/>
    <xf numFmtId="0" fontId="2" fillId="3" borderId="8" xfId="0" applyFont="1" applyFill="1" applyBorder="1"/>
    <xf numFmtId="165" fontId="2" fillId="2" borderId="0" xfId="3" applyNumberFormat="1" applyFont="1" applyFill="1" applyBorder="1" applyAlignment="1">
      <alignment horizontal="center"/>
    </xf>
    <xf numFmtId="0" fontId="5" fillId="3" borderId="0" xfId="0" applyFont="1" applyFill="1"/>
    <xf numFmtId="0" fontId="3" fillId="0" borderId="0" xfId="0" applyFont="1" applyAlignment="1">
      <alignment horizontal="center"/>
    </xf>
    <xf numFmtId="166" fontId="3" fillId="0" borderId="0" xfId="0" applyNumberFormat="1" applyFont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3" fontId="2" fillId="6" borderId="0" xfId="0" applyNumberFormat="1" applyFont="1" applyFill="1" applyBorder="1" applyAlignment="1">
      <alignment horizontal="center"/>
    </xf>
    <xf numFmtId="1" fontId="2" fillId="2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5" fontId="3" fillId="0" borderId="0" xfId="3" applyNumberFormat="1" applyFont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10" fontId="2" fillId="0" borderId="3" xfId="0" applyNumberFormat="1" applyFont="1" applyBorder="1" applyAlignment="1">
      <alignment horizontal="center"/>
    </xf>
    <xf numFmtId="10" fontId="2" fillId="0" borderId="4" xfId="0" applyNumberFormat="1" applyFont="1" applyBorder="1" applyAlignment="1">
      <alignment horizontal="center"/>
    </xf>
    <xf numFmtId="0" fontId="8" fillId="0" borderId="0" xfId="1" applyFill="1" applyBorder="1" applyAlignment="1" applyProtection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165" fontId="2" fillId="6" borderId="3" xfId="3" applyNumberFormat="1" applyFont="1" applyFill="1" applyBorder="1" applyAlignment="1">
      <alignment horizontal="center"/>
    </xf>
    <xf numFmtId="0" fontId="2" fillId="3" borderId="13" xfId="0" applyFont="1" applyFill="1" applyBorder="1" applyAlignment="1">
      <alignment horizontal="right"/>
    </xf>
    <xf numFmtId="0" fontId="2" fillId="3" borderId="7" xfId="0" applyFont="1" applyFill="1" applyBorder="1" applyAlignment="1">
      <alignment horizontal="center"/>
    </xf>
    <xf numFmtId="171" fontId="2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2" fillId="0" borderId="7" xfId="0" applyNumberFormat="1" applyFont="1" applyFill="1" applyBorder="1"/>
    <xf numFmtId="3" fontId="10" fillId="0" borderId="0" xfId="0" applyNumberFormat="1" applyFont="1" applyFill="1" applyBorder="1"/>
    <xf numFmtId="0" fontId="2" fillId="0" borderId="20" xfId="0" applyFont="1" applyBorder="1"/>
    <xf numFmtId="0" fontId="2" fillId="0" borderId="15" xfId="0" applyFont="1" applyBorder="1"/>
    <xf numFmtId="0" fontId="2" fillId="3" borderId="0" xfId="0" applyFont="1" applyFill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11" xfId="0" applyFont="1" applyBorder="1"/>
    <xf numFmtId="173" fontId="3" fillId="0" borderId="0" xfId="0" applyNumberFormat="1" applyFont="1"/>
    <xf numFmtId="0" fontId="9" fillId="0" borderId="0" xfId="0" applyFont="1" applyFill="1" applyBorder="1"/>
    <xf numFmtId="0" fontId="9" fillId="0" borderId="0" xfId="0" applyFont="1"/>
    <xf numFmtId="0" fontId="11" fillId="0" borderId="0" xfId="0" applyFont="1" applyFill="1" applyBorder="1"/>
    <xf numFmtId="170" fontId="11" fillId="0" borderId="0" xfId="0" applyNumberFormat="1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Border="1"/>
    <xf numFmtId="0" fontId="11" fillId="0" borderId="0" xfId="0" applyFont="1" applyBorder="1" applyAlignment="1">
      <alignment horizontal="left"/>
    </xf>
    <xf numFmtId="3" fontId="3" fillId="0" borderId="21" xfId="0" applyNumberFormat="1" applyFont="1" applyBorder="1"/>
    <xf numFmtId="0" fontId="2" fillId="6" borderId="24" xfId="0" applyFont="1" applyFill="1" applyBorder="1" applyAlignment="1">
      <alignment horizontal="center"/>
    </xf>
    <xf numFmtId="3" fontId="2" fillId="6" borderId="3" xfId="0" applyNumberFormat="1" applyFont="1" applyFill="1" applyBorder="1" applyAlignment="1">
      <alignment horizontal="center"/>
    </xf>
    <xf numFmtId="3" fontId="2" fillId="6" borderId="25" xfId="0" applyNumberFormat="1" applyFont="1" applyFill="1" applyBorder="1" applyAlignment="1">
      <alignment horizontal="center"/>
    </xf>
    <xf numFmtId="165" fontId="2" fillId="6" borderId="25" xfId="3" applyNumberFormat="1" applyFont="1" applyFill="1" applyBorder="1" applyAlignment="1">
      <alignment horizontal="center"/>
    </xf>
    <xf numFmtId="0" fontId="2" fillId="6" borderId="26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167" fontId="2" fillId="5" borderId="0" xfId="0" applyNumberFormat="1" applyFont="1" applyFill="1" applyBorder="1" applyAlignment="1">
      <alignment horizontal="center"/>
    </xf>
    <xf numFmtId="165" fontId="2" fillId="5" borderId="0" xfId="3" applyNumberFormat="1" applyFont="1" applyFill="1" applyBorder="1" applyAlignment="1">
      <alignment horizontal="center"/>
    </xf>
    <xf numFmtId="3" fontId="2" fillId="5" borderId="0" xfId="0" applyNumberFormat="1" applyFont="1" applyFill="1" applyAlignment="1">
      <alignment horizontal="center"/>
    </xf>
    <xf numFmtId="0" fontId="3" fillId="0" borderId="11" xfId="0" applyFont="1" applyBorder="1" applyAlignment="1">
      <alignment horizontal="center"/>
    </xf>
    <xf numFmtId="3" fontId="0" fillId="0" borderId="0" xfId="0" applyNumberFormat="1" applyAlignment="1">
      <alignment horizontal="center"/>
    </xf>
    <xf numFmtId="0" fontId="2" fillId="6" borderId="11" xfId="0" applyFont="1" applyFill="1" applyBorder="1" applyAlignment="1">
      <alignment horizontal="center"/>
    </xf>
    <xf numFmtId="3" fontId="3" fillId="0" borderId="0" xfId="3" applyNumberFormat="1" applyFont="1" applyFill="1" applyBorder="1" applyAlignment="1">
      <alignment horizontal="center"/>
    </xf>
    <xf numFmtId="3" fontId="2" fillId="0" borderId="0" xfId="3" applyNumberFormat="1" applyFont="1" applyFill="1" applyBorder="1" applyAlignment="1">
      <alignment horizontal="center"/>
    </xf>
    <xf numFmtId="3" fontId="2" fillId="7" borderId="0" xfId="0" applyNumberFormat="1" applyFont="1" applyFill="1" applyBorder="1" applyAlignment="1">
      <alignment horizontal="center"/>
    </xf>
    <xf numFmtId="165" fontId="2" fillId="7" borderId="0" xfId="3" applyNumberFormat="1" applyFont="1" applyFill="1" applyBorder="1" applyAlignment="1">
      <alignment horizontal="center"/>
    </xf>
    <xf numFmtId="165" fontId="2" fillId="6" borderId="18" xfId="3" applyNumberFormat="1" applyFont="1" applyFill="1" applyBorder="1" applyAlignment="1">
      <alignment horizontal="center"/>
    </xf>
    <xf numFmtId="165" fontId="2" fillId="6" borderId="28" xfId="3" applyNumberFormat="1" applyFont="1" applyFill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0" fontId="2" fillId="3" borderId="13" xfId="0" applyFont="1" applyFill="1" applyBorder="1"/>
    <xf numFmtId="3" fontId="2" fillId="6" borderId="1" xfId="0" applyNumberFormat="1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9" fontId="2" fillId="7" borderId="0" xfId="3" applyFont="1" applyFill="1" applyBorder="1" applyAlignment="1">
      <alignment horizontal="center"/>
    </xf>
    <xf numFmtId="0" fontId="3" fillId="0" borderId="13" xfId="0" applyFont="1" applyFill="1" applyBorder="1" applyAlignment="1">
      <alignment horizontal="right"/>
    </xf>
    <xf numFmtId="1" fontId="2" fillId="3" borderId="11" xfId="0" applyNumberFormat="1" applyFont="1" applyFill="1" applyBorder="1" applyAlignment="1">
      <alignment horizontal="center"/>
    </xf>
    <xf numFmtId="1" fontId="2" fillId="3" borderId="12" xfId="0" applyNumberFormat="1" applyFont="1" applyFill="1" applyBorder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3" fillId="0" borderId="23" xfId="0" applyNumberFormat="1" applyFont="1" applyBorder="1" applyAlignment="1">
      <alignment horizontal="center"/>
    </xf>
    <xf numFmtId="170" fontId="3" fillId="0" borderId="7" xfId="0" applyNumberFormat="1" applyFont="1" applyFill="1" applyBorder="1" applyAlignment="1">
      <alignment horizontal="right"/>
    </xf>
    <xf numFmtId="0" fontId="3" fillId="0" borderId="31" xfId="0" applyFont="1" applyFill="1" applyBorder="1" applyAlignment="1">
      <alignment horizontal="right"/>
    </xf>
    <xf numFmtId="0" fontId="2" fillId="0" borderId="7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left"/>
    </xf>
    <xf numFmtId="0" fontId="2" fillId="0" borderId="13" xfId="0" applyFont="1" applyBorder="1" applyAlignment="1">
      <alignment horizontal="left"/>
    </xf>
    <xf numFmtId="3" fontId="3" fillId="0" borderId="11" xfId="0" applyNumberFormat="1" applyFont="1" applyBorder="1" applyAlignment="1">
      <alignment horizontal="center"/>
    </xf>
    <xf numFmtId="3" fontId="3" fillId="0" borderId="12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9" xfId="0" applyNumberFormat="1" applyFont="1" applyBorder="1" applyAlignment="1">
      <alignment horizontal="center"/>
    </xf>
    <xf numFmtId="0" fontId="2" fillId="0" borderId="11" xfId="0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center"/>
    </xf>
    <xf numFmtId="3" fontId="3" fillId="3" borderId="8" xfId="0" applyNumberFormat="1" applyFont="1" applyFill="1" applyBorder="1"/>
    <xf numFmtId="3" fontId="2" fillId="7" borderId="10" xfId="0" applyNumberFormat="1" applyFont="1" applyFill="1" applyBorder="1" applyAlignment="1">
      <alignment horizontal="center"/>
    </xf>
    <xf numFmtId="9" fontId="2" fillId="7" borderId="1" xfId="3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0" fontId="3" fillId="3" borderId="13" xfId="0" applyFont="1" applyFill="1" applyBorder="1"/>
    <xf numFmtId="9" fontId="3" fillId="0" borderId="0" xfId="3" applyFont="1" applyBorder="1" applyAlignment="1">
      <alignment horizontal="center"/>
    </xf>
    <xf numFmtId="0" fontId="3" fillId="0" borderId="13" xfId="0" applyFont="1" applyBorder="1" applyAlignment="1">
      <alignment horizontal="right"/>
    </xf>
    <xf numFmtId="0" fontId="2" fillId="3" borderId="8" xfId="0" applyFont="1" applyFill="1" applyBorder="1" applyAlignment="1">
      <alignment horizontal="center"/>
    </xf>
    <xf numFmtId="165" fontId="3" fillId="7" borderId="0" xfId="3" applyNumberFormat="1" applyFont="1" applyFill="1" applyBorder="1" applyAlignment="1">
      <alignment horizontal="center"/>
    </xf>
    <xf numFmtId="165" fontId="3" fillId="7" borderId="8" xfId="3" applyNumberFormat="1" applyFont="1" applyFill="1" applyBorder="1" applyAlignment="1">
      <alignment horizontal="center"/>
    </xf>
    <xf numFmtId="165" fontId="3" fillId="7" borderId="1" xfId="3" applyNumberFormat="1" applyFont="1" applyFill="1" applyBorder="1" applyAlignment="1">
      <alignment horizontal="center"/>
    </xf>
    <xf numFmtId="165" fontId="3" fillId="7" borderId="9" xfId="3" applyNumberFormat="1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2" fillId="6" borderId="3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0" borderId="31" xfId="0" applyFont="1" applyFill="1" applyBorder="1"/>
    <xf numFmtId="0" fontId="3" fillId="0" borderId="21" xfId="0" applyFont="1" applyBorder="1"/>
    <xf numFmtId="0" fontId="3" fillId="0" borderId="22" xfId="0" applyFont="1" applyBorder="1"/>
    <xf numFmtId="10" fontId="2" fillId="0" borderId="27" xfId="0" applyNumberFormat="1" applyFont="1" applyBorder="1" applyAlignment="1">
      <alignment horizontal="center"/>
    </xf>
    <xf numFmtId="10" fontId="2" fillId="0" borderId="36" xfId="0" applyNumberFormat="1" applyFont="1" applyBorder="1" applyAlignment="1">
      <alignment horizontal="center"/>
    </xf>
    <xf numFmtId="167" fontId="2" fillId="0" borderId="29" xfId="0" applyNumberFormat="1" applyFont="1" applyBorder="1" applyAlignment="1">
      <alignment horizontal="center"/>
    </xf>
    <xf numFmtId="167" fontId="2" fillId="0" borderId="26" xfId="0" applyNumberFormat="1" applyFont="1" applyBorder="1" applyAlignment="1">
      <alignment horizontal="center"/>
    </xf>
    <xf numFmtId="167" fontId="2" fillId="0" borderId="40" xfId="0" applyNumberFormat="1" applyFont="1" applyBorder="1" applyAlignment="1">
      <alignment horizontal="center"/>
    </xf>
    <xf numFmtId="10" fontId="2" fillId="0" borderId="41" xfId="0" applyNumberFormat="1" applyFont="1" applyBorder="1" applyAlignment="1">
      <alignment horizontal="center"/>
    </xf>
    <xf numFmtId="10" fontId="2" fillId="0" borderId="42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9" borderId="0" xfId="0" applyFont="1" applyFill="1"/>
    <xf numFmtId="0" fontId="2" fillId="0" borderId="34" xfId="0" applyFont="1" applyFill="1" applyBorder="1" applyAlignment="1">
      <alignment horizontal="right"/>
    </xf>
    <xf numFmtId="0" fontId="2" fillId="6" borderId="12" xfId="0" applyFont="1" applyFill="1" applyBorder="1" applyAlignment="1">
      <alignment horizontal="center"/>
    </xf>
    <xf numFmtId="165" fontId="2" fillId="6" borderId="8" xfId="3" applyNumberFormat="1" applyFont="1" applyFill="1" applyBorder="1" applyAlignment="1">
      <alignment horizontal="center"/>
    </xf>
    <xf numFmtId="165" fontId="2" fillId="6" borderId="19" xfId="3" applyNumberFormat="1" applyFont="1" applyFill="1" applyBorder="1" applyAlignment="1">
      <alignment horizontal="center"/>
    </xf>
    <xf numFmtId="165" fontId="2" fillId="6" borderId="1" xfId="3" applyNumberFormat="1" applyFont="1" applyFill="1" applyBorder="1" applyAlignment="1">
      <alignment horizontal="center"/>
    </xf>
    <xf numFmtId="165" fontId="2" fillId="6" borderId="9" xfId="3" applyNumberFormat="1" applyFont="1" applyFill="1" applyBorder="1" applyAlignment="1">
      <alignment horizontal="center"/>
    </xf>
    <xf numFmtId="9" fontId="3" fillId="0" borderId="0" xfId="3" applyNumberFormat="1" applyFont="1" applyFill="1" applyBorder="1"/>
    <xf numFmtId="3" fontId="2" fillId="8" borderId="12" xfId="0" applyNumberFormat="1" applyFont="1" applyFill="1" applyBorder="1" applyAlignment="1">
      <alignment horizontal="center"/>
    </xf>
    <xf numFmtId="165" fontId="2" fillId="6" borderId="11" xfId="3" applyNumberFormat="1" applyFont="1" applyFill="1" applyBorder="1" applyAlignment="1">
      <alignment horizontal="center"/>
    </xf>
    <xf numFmtId="165" fontId="2" fillId="6" borderId="12" xfId="3" applyNumberFormat="1" applyFont="1" applyFill="1" applyBorder="1" applyAlignment="1">
      <alignment horizontal="center"/>
    </xf>
    <xf numFmtId="0" fontId="2" fillId="0" borderId="20" xfId="0" applyFont="1" applyFill="1" applyBorder="1" applyAlignment="1">
      <alignment horizontal="right"/>
    </xf>
    <xf numFmtId="0" fontId="2" fillId="0" borderId="22" xfId="0" applyFont="1" applyFill="1" applyBorder="1" applyAlignment="1">
      <alignment horizontal="center"/>
    </xf>
    <xf numFmtId="9" fontId="2" fillId="0" borderId="0" xfId="3" applyNumberFormat="1" applyFont="1" applyFill="1" applyBorder="1"/>
    <xf numFmtId="0" fontId="2" fillId="0" borderId="13" xfId="0" applyFont="1" applyFill="1" applyBorder="1" applyAlignment="1">
      <alignment horizontal="right"/>
    </xf>
    <xf numFmtId="0" fontId="2" fillId="0" borderId="17" xfId="0" applyFont="1" applyBorder="1" applyAlignment="1">
      <alignment horizontal="right"/>
    </xf>
    <xf numFmtId="3" fontId="2" fillId="0" borderId="11" xfId="0" applyNumberFormat="1" applyFont="1" applyBorder="1" applyAlignment="1">
      <alignment horizontal="center"/>
    </xf>
    <xf numFmtId="3" fontId="2" fillId="0" borderId="12" xfId="0" applyNumberFormat="1" applyFont="1" applyBorder="1" applyAlignment="1">
      <alignment horizontal="center"/>
    </xf>
    <xf numFmtId="3" fontId="2" fillId="6" borderId="9" xfId="0" applyNumberFormat="1" applyFont="1" applyFill="1" applyBorder="1" applyAlignment="1">
      <alignment horizontal="center"/>
    </xf>
    <xf numFmtId="3" fontId="2" fillId="6" borderId="13" xfId="0" applyNumberFormat="1" applyFont="1" applyFill="1" applyBorder="1" applyAlignment="1">
      <alignment horizontal="center"/>
    </xf>
    <xf numFmtId="3" fontId="2" fillId="6" borderId="7" xfId="0" applyNumberFormat="1" applyFont="1" applyFill="1" applyBorder="1" applyAlignment="1">
      <alignment horizontal="center"/>
    </xf>
    <xf numFmtId="3" fontId="2" fillId="6" borderId="10" xfId="0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3" fontId="2" fillId="6" borderId="8" xfId="0" applyNumberFormat="1" applyFont="1" applyFill="1" applyBorder="1" applyAlignment="1">
      <alignment horizontal="center"/>
    </xf>
    <xf numFmtId="10" fontId="2" fillId="6" borderId="12" xfId="3" applyNumberFormat="1" applyFont="1" applyFill="1" applyBorder="1" applyAlignment="1">
      <alignment horizontal="center"/>
    </xf>
    <xf numFmtId="10" fontId="2" fillId="6" borderId="8" xfId="3" applyNumberFormat="1" applyFont="1" applyFill="1" applyBorder="1" applyAlignment="1">
      <alignment horizontal="center"/>
    </xf>
    <xf numFmtId="0" fontId="2" fillId="0" borderId="20" xfId="0" applyFont="1" applyBorder="1" applyAlignment="1">
      <alignment horizontal="right"/>
    </xf>
    <xf numFmtId="0" fontId="2" fillId="6" borderId="22" xfId="0" applyFont="1" applyFill="1" applyBorder="1" applyAlignment="1">
      <alignment horizontal="center"/>
    </xf>
    <xf numFmtId="0" fontId="2" fillId="0" borderId="13" xfId="0" applyFont="1" applyBorder="1"/>
    <xf numFmtId="3" fontId="2" fillId="0" borderId="7" xfId="0" applyNumberFormat="1" applyFont="1" applyBorder="1" applyAlignment="1">
      <alignment horizontal="right"/>
    </xf>
    <xf numFmtId="3" fontId="3" fillId="0" borderId="8" xfId="3" applyNumberFormat="1" applyFont="1" applyFill="1" applyBorder="1" applyAlignment="1">
      <alignment horizontal="center"/>
    </xf>
    <xf numFmtId="3" fontId="2" fillId="0" borderId="10" xfId="3" applyNumberFormat="1" applyFont="1" applyFill="1" applyBorder="1" applyAlignment="1">
      <alignment horizontal="right"/>
    </xf>
    <xf numFmtId="0" fontId="2" fillId="0" borderId="31" xfId="0" applyFont="1" applyBorder="1" applyAlignment="1">
      <alignment horizontal="right"/>
    </xf>
    <xf numFmtId="0" fontId="2" fillId="0" borderId="15" xfId="0" applyFont="1" applyBorder="1" applyAlignment="1">
      <alignment horizontal="right"/>
    </xf>
    <xf numFmtId="0" fontId="2" fillId="6" borderId="8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" fontId="3" fillId="0" borderId="0" xfId="0" applyNumberFormat="1" applyFont="1" applyAlignment="1">
      <alignment horizontal="right"/>
    </xf>
    <xf numFmtId="3" fontId="3" fillId="3" borderId="8" xfId="0" applyNumberFormat="1" applyFont="1" applyFill="1" applyBorder="1" applyAlignment="1">
      <alignment horizontal="center"/>
    </xf>
    <xf numFmtId="168" fontId="3" fillId="0" borderId="0" xfId="0" applyNumberFormat="1" applyFont="1" applyFill="1" applyBorder="1" applyAlignment="1"/>
    <xf numFmtId="165" fontId="3" fillId="0" borderId="0" xfId="0" applyNumberFormat="1" applyFont="1" applyBorder="1" applyAlignment="1">
      <alignment horizontal="center"/>
    </xf>
    <xf numFmtId="165" fontId="3" fillId="0" borderId="8" xfId="0" applyNumberFormat="1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174" fontId="15" fillId="0" borderId="7" xfId="0" applyNumberFormat="1" applyFont="1" applyBorder="1"/>
    <xf numFmtId="174" fontId="3" fillId="0" borderId="0" xfId="0" applyNumberFormat="1" applyFont="1" applyBorder="1" applyAlignment="1">
      <alignment horizontal="center"/>
    </xf>
    <xf numFmtId="174" fontId="3" fillId="0" borderId="8" xfId="0" applyNumberFormat="1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174" fontId="15" fillId="0" borderId="10" xfId="0" applyNumberFormat="1" applyFont="1" applyBorder="1"/>
    <xf numFmtId="174" fontId="3" fillId="0" borderId="1" xfId="0" applyNumberFormat="1" applyFont="1" applyBorder="1" applyAlignment="1">
      <alignment horizontal="center"/>
    </xf>
    <xf numFmtId="174" fontId="3" fillId="0" borderId="9" xfId="0" applyNumberFormat="1" applyFont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" fontId="2" fillId="3" borderId="0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8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3" fontId="3" fillId="3" borderId="7" xfId="0" applyNumberFormat="1" applyFont="1" applyFill="1" applyBorder="1" applyAlignment="1">
      <alignment horizontal="center"/>
    </xf>
    <xf numFmtId="3" fontId="3" fillId="3" borderId="0" xfId="0" applyNumberFormat="1" applyFont="1" applyFill="1" applyBorder="1" applyAlignment="1">
      <alignment horizontal="center"/>
    </xf>
    <xf numFmtId="3" fontId="3" fillId="0" borderId="10" xfId="0" applyNumberFormat="1" applyFont="1" applyBorder="1" applyAlignment="1">
      <alignment horizontal="center"/>
    </xf>
    <xf numFmtId="3" fontId="2" fillId="0" borderId="8" xfId="0" applyNumberFormat="1" applyFont="1" applyFill="1" applyBorder="1" applyAlignment="1">
      <alignment horizontal="center"/>
    </xf>
    <xf numFmtId="3" fontId="3" fillId="0" borderId="8" xfId="0" applyNumberFormat="1" applyFont="1" applyFill="1" applyBorder="1" applyAlignment="1">
      <alignment horizontal="center"/>
    </xf>
    <xf numFmtId="3" fontId="2" fillId="3" borderId="9" xfId="0" applyNumberFormat="1" applyFont="1" applyFill="1" applyBorder="1" applyAlignment="1">
      <alignment horizontal="center"/>
    </xf>
    <xf numFmtId="1" fontId="2" fillId="0" borderId="21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3" fillId="0" borderId="21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1" fontId="2" fillId="0" borderId="22" xfId="0" applyNumberFormat="1" applyFont="1" applyBorder="1" applyAlignment="1">
      <alignment horizontal="center"/>
    </xf>
    <xf numFmtId="3" fontId="2" fillId="0" borderId="30" xfId="0" applyNumberFormat="1" applyFont="1" applyBorder="1" applyAlignment="1">
      <alignment horizontal="center"/>
    </xf>
    <xf numFmtId="3" fontId="3" fillId="0" borderId="22" xfId="0" applyNumberFormat="1" applyFont="1" applyBorder="1" applyAlignment="1">
      <alignment horizontal="center"/>
    </xf>
    <xf numFmtId="175" fontId="2" fillId="6" borderId="0" xfId="0" applyNumberFormat="1" applyFont="1" applyFill="1" applyBorder="1" applyAlignment="1">
      <alignment horizontal="center"/>
    </xf>
    <xf numFmtId="175" fontId="2" fillId="6" borderId="25" xfId="0" applyNumberFormat="1" applyFont="1" applyFill="1" applyBorder="1" applyAlignment="1">
      <alignment horizontal="center"/>
    </xf>
    <xf numFmtId="175" fontId="2" fillId="6" borderId="3" xfId="0" applyNumberFormat="1" applyFont="1" applyFill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10" fontId="3" fillId="0" borderId="0" xfId="3" applyNumberFormat="1" applyFont="1" applyAlignment="1">
      <alignment horizontal="center"/>
    </xf>
    <xf numFmtId="3" fontId="2" fillId="0" borderId="0" xfId="0" applyNumberFormat="1" applyFont="1" applyAlignment="1">
      <alignment horizontal="right"/>
    </xf>
    <xf numFmtId="1" fontId="2" fillId="0" borderId="0" xfId="0" applyNumberFormat="1" applyFont="1" applyAlignment="1">
      <alignment horizontal="center"/>
    </xf>
    <xf numFmtId="3" fontId="2" fillId="0" borderId="5" xfId="0" applyNumberFormat="1" applyFont="1" applyFill="1" applyBorder="1" applyAlignment="1">
      <alignment horizontal="center"/>
    </xf>
    <xf numFmtId="3" fontId="2" fillId="0" borderId="16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3" fontId="2" fillId="0" borderId="30" xfId="0" applyNumberFormat="1" applyFont="1" applyFill="1" applyBorder="1" applyAlignment="1">
      <alignment horizontal="center"/>
    </xf>
    <xf numFmtId="3" fontId="3" fillId="0" borderId="11" xfId="0" applyNumberFormat="1" applyFont="1" applyFill="1" applyBorder="1" applyAlignment="1">
      <alignment horizontal="center"/>
    </xf>
    <xf numFmtId="3" fontId="3" fillId="0" borderId="12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1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center"/>
    </xf>
    <xf numFmtId="0" fontId="2" fillId="3" borderId="22" xfId="0" applyFont="1" applyFill="1" applyBorder="1" applyAlignment="1">
      <alignment horizontal="center"/>
    </xf>
    <xf numFmtId="1" fontId="2" fillId="3" borderId="32" xfId="0" applyNumberFormat="1" applyFont="1" applyFill="1" applyBorder="1" applyAlignment="1">
      <alignment horizontal="center"/>
    </xf>
    <xf numFmtId="1" fontId="2" fillId="3" borderId="33" xfId="0" applyNumberFormat="1" applyFont="1" applyFill="1" applyBorder="1" applyAlignment="1">
      <alignment horizontal="center"/>
    </xf>
    <xf numFmtId="3" fontId="3" fillId="0" borderId="6" xfId="0" applyNumberFormat="1" applyFont="1" applyFill="1" applyBorder="1" applyAlignment="1">
      <alignment horizontal="center"/>
    </xf>
    <xf numFmtId="3" fontId="3" fillId="0" borderId="23" xfId="0" applyNumberFormat="1" applyFont="1" applyFill="1" applyBorder="1" applyAlignment="1">
      <alignment horizontal="center"/>
    </xf>
    <xf numFmtId="3" fontId="2" fillId="3" borderId="21" xfId="0" applyNumberFormat="1" applyFont="1" applyFill="1" applyBorder="1" applyAlignment="1">
      <alignment horizontal="center"/>
    </xf>
    <xf numFmtId="3" fontId="2" fillId="3" borderId="22" xfId="0" applyNumberFormat="1" applyFont="1" applyFill="1" applyBorder="1" applyAlignment="1">
      <alignment horizontal="center"/>
    </xf>
    <xf numFmtId="3" fontId="2" fillId="0" borderId="11" xfId="0" applyNumberFormat="1" applyFont="1" applyFill="1" applyBorder="1" applyAlignment="1">
      <alignment horizontal="center"/>
    </xf>
    <xf numFmtId="3" fontId="2" fillId="0" borderId="12" xfId="0" applyNumberFormat="1" applyFont="1" applyFill="1" applyBorder="1" applyAlignment="1">
      <alignment horizontal="center"/>
    </xf>
    <xf numFmtId="3" fontId="2" fillId="0" borderId="18" xfId="0" applyNumberFormat="1" applyFont="1" applyFill="1" applyBorder="1" applyAlignment="1">
      <alignment horizontal="center"/>
    </xf>
    <xf numFmtId="3" fontId="2" fillId="0" borderId="19" xfId="0" applyNumberFormat="1" applyFont="1" applyFill="1" applyBorder="1" applyAlignment="1">
      <alignment horizontal="center"/>
    </xf>
    <xf numFmtId="10" fontId="3" fillId="0" borderId="11" xfId="3" applyNumberFormat="1" applyFont="1" applyBorder="1" applyAlignment="1">
      <alignment horizontal="center"/>
    </xf>
    <xf numFmtId="10" fontId="3" fillId="0" borderId="12" xfId="3" applyNumberFormat="1" applyFont="1" applyBorder="1" applyAlignment="1">
      <alignment horizontal="center"/>
    </xf>
    <xf numFmtId="3" fontId="3" fillId="0" borderId="1" xfId="0" applyNumberFormat="1" applyFont="1" applyFill="1" applyBorder="1" applyAlignment="1">
      <alignment horizontal="center"/>
    </xf>
    <xf numFmtId="3" fontId="3" fillId="0" borderId="9" xfId="0" applyNumberFormat="1" applyFont="1" applyFill="1" applyBorder="1" applyAlignment="1">
      <alignment horizontal="center"/>
    </xf>
    <xf numFmtId="0" fontId="15" fillId="0" borderId="0" xfId="0" applyFont="1" applyFill="1" applyBorder="1"/>
    <xf numFmtId="176" fontId="2" fillId="0" borderId="7" xfId="0" applyNumberFormat="1" applyFont="1" applyFill="1" applyBorder="1" applyAlignment="1">
      <alignment horizontal="right"/>
    </xf>
    <xf numFmtId="177" fontId="2" fillId="0" borderId="7" xfId="0" applyNumberFormat="1" applyFont="1" applyFill="1" applyBorder="1" applyAlignment="1">
      <alignment horizontal="right"/>
    </xf>
    <xf numFmtId="178" fontId="2" fillId="0" borderId="7" xfId="0" applyNumberFormat="1" applyFont="1" applyFill="1" applyBorder="1" applyAlignment="1">
      <alignment horizontal="right"/>
    </xf>
    <xf numFmtId="174" fontId="3" fillId="0" borderId="11" xfId="0" applyNumberFormat="1" applyFont="1" applyBorder="1" applyAlignment="1">
      <alignment horizontal="center"/>
    </xf>
    <xf numFmtId="174" fontId="3" fillId="0" borderId="12" xfId="0" applyNumberFormat="1" applyFont="1" applyBorder="1" applyAlignment="1">
      <alignment horizontal="center"/>
    </xf>
    <xf numFmtId="9" fontId="3" fillId="0" borderId="5" xfId="3" applyFont="1" applyFill="1" applyBorder="1" applyAlignment="1">
      <alignment horizontal="center"/>
    </xf>
    <xf numFmtId="1" fontId="3" fillId="2" borderId="0" xfId="0" applyNumberFormat="1" applyFont="1" applyFill="1" applyBorder="1" applyAlignment="1">
      <alignment horizontal="center"/>
    </xf>
    <xf numFmtId="179" fontId="2" fillId="0" borderId="7" xfId="0" applyNumberFormat="1" applyFont="1" applyFill="1" applyBorder="1" applyAlignment="1">
      <alignment horizontal="right"/>
    </xf>
    <xf numFmtId="165" fontId="3" fillId="6" borderId="0" xfId="3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1" xfId="0" applyFont="1" applyFill="1" applyBorder="1"/>
    <xf numFmtId="10" fontId="2" fillId="0" borderId="5" xfId="3" applyNumberFormat="1" applyFont="1" applyFill="1" applyBorder="1" applyAlignment="1">
      <alignment horizontal="center"/>
    </xf>
    <xf numFmtId="10" fontId="2" fillId="0" borderId="16" xfId="3" applyNumberFormat="1" applyFont="1" applyFill="1" applyBorder="1" applyAlignment="1">
      <alignment horizontal="center"/>
    </xf>
    <xf numFmtId="165" fontId="3" fillId="6" borderId="8" xfId="3" applyNumberFormat="1" applyFont="1" applyFill="1" applyBorder="1" applyAlignment="1">
      <alignment horizontal="center"/>
    </xf>
    <xf numFmtId="180" fontId="2" fillId="0" borderId="37" xfId="0" applyNumberFormat="1" applyFont="1" applyBorder="1"/>
    <xf numFmtId="181" fontId="2" fillId="0" borderId="38" xfId="0" applyNumberFormat="1" applyFont="1" applyBorder="1"/>
    <xf numFmtId="0" fontId="2" fillId="0" borderId="8" xfId="0" applyFont="1" applyBorder="1" applyAlignment="1">
      <alignment horizontal="center"/>
    </xf>
    <xf numFmtId="0" fontId="2" fillId="3" borderId="20" xfId="0" applyFont="1" applyFill="1" applyBorder="1" applyAlignment="1">
      <alignment horizontal="left"/>
    </xf>
    <xf numFmtId="0" fontId="3" fillId="3" borderId="22" xfId="0" applyFont="1" applyFill="1" applyBorder="1"/>
    <xf numFmtId="0" fontId="2" fillId="3" borderId="13" xfId="0" applyFont="1" applyFill="1" applyBorder="1" applyAlignment="1">
      <alignment horizontal="left"/>
    </xf>
    <xf numFmtId="0" fontId="3" fillId="3" borderId="12" xfId="0" applyFont="1" applyFill="1" applyBorder="1"/>
    <xf numFmtId="0" fontId="2" fillId="3" borderId="12" xfId="0" applyFont="1" applyFill="1" applyBorder="1" applyAlignment="1">
      <alignment horizontal="left"/>
    </xf>
    <xf numFmtId="172" fontId="3" fillId="0" borderId="11" xfId="0" applyNumberFormat="1" applyFont="1" applyBorder="1" applyAlignment="1">
      <alignment horizontal="right"/>
    </xf>
    <xf numFmtId="0" fontId="3" fillId="3" borderId="22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right"/>
    </xf>
    <xf numFmtId="0" fontId="3" fillId="0" borderId="6" xfId="0" applyFont="1" applyBorder="1" applyAlignment="1">
      <alignment horizontal="right"/>
    </xf>
    <xf numFmtId="180" fontId="3" fillId="0" borderId="6" xfId="0" applyNumberFormat="1" applyFont="1" applyFill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23" xfId="0" applyNumberFormat="1" applyFont="1" applyBorder="1" applyAlignment="1">
      <alignment horizontal="center"/>
    </xf>
    <xf numFmtId="0" fontId="3" fillId="0" borderId="13" xfId="0" applyFont="1" applyBorder="1" applyAlignment="1">
      <alignment horizontal="left"/>
    </xf>
    <xf numFmtId="10" fontId="2" fillId="8" borderId="8" xfId="3" applyNumberFormat="1" applyFont="1" applyFill="1" applyBorder="1" applyAlignment="1">
      <alignment horizontal="center"/>
    </xf>
    <xf numFmtId="10" fontId="2" fillId="8" borderId="9" xfId="3" applyNumberFormat="1" applyFont="1" applyFill="1" applyBorder="1" applyAlignment="1">
      <alignment horizontal="center"/>
    </xf>
    <xf numFmtId="9" fontId="2" fillId="6" borderId="0" xfId="3" applyNumberFormat="1" applyFont="1" applyFill="1" applyBorder="1" applyAlignment="1">
      <alignment horizontal="center"/>
    </xf>
    <xf numFmtId="9" fontId="2" fillId="6" borderId="8" xfId="3" applyNumberFormat="1" applyFont="1" applyFill="1" applyBorder="1" applyAlignment="1">
      <alignment horizontal="center"/>
    </xf>
    <xf numFmtId="9" fontId="2" fillId="3" borderId="0" xfId="3" applyNumberFormat="1" applyFont="1" applyFill="1" applyBorder="1" applyAlignment="1">
      <alignment horizontal="center"/>
    </xf>
    <xf numFmtId="9" fontId="2" fillId="3" borderId="8" xfId="3" applyNumberFormat="1" applyFont="1" applyFill="1" applyBorder="1" applyAlignment="1">
      <alignment horizontal="center"/>
    </xf>
    <xf numFmtId="9" fontId="2" fillId="6" borderId="1" xfId="3" applyNumberFormat="1" applyFont="1" applyFill="1" applyBorder="1" applyAlignment="1">
      <alignment horizontal="center"/>
    </xf>
    <xf numFmtId="9" fontId="2" fillId="6" borderId="9" xfId="3" applyNumberFormat="1" applyFont="1" applyFill="1" applyBorder="1" applyAlignment="1">
      <alignment horizontal="center"/>
    </xf>
    <xf numFmtId="3" fontId="2" fillId="7" borderId="1" xfId="0" applyNumberFormat="1" applyFont="1" applyFill="1" applyBorder="1" applyAlignment="1">
      <alignment horizontal="center"/>
    </xf>
    <xf numFmtId="9" fontId="3" fillId="0" borderId="43" xfId="0" applyNumberFormat="1" applyFont="1" applyBorder="1"/>
    <xf numFmtId="3" fontId="3" fillId="0" borderId="44" xfId="0" applyNumberFormat="1" applyFont="1" applyFill="1" applyBorder="1" applyAlignment="1">
      <alignment horizontal="center"/>
    </xf>
    <xf numFmtId="9" fontId="3" fillId="0" borderId="25" xfId="0" applyNumberFormat="1" applyFont="1" applyBorder="1"/>
    <xf numFmtId="3" fontId="3" fillId="0" borderId="27" xfId="0" applyNumberFormat="1" applyFont="1" applyFill="1" applyBorder="1" applyAlignment="1">
      <alignment horizontal="center"/>
    </xf>
    <xf numFmtId="9" fontId="3" fillId="0" borderId="45" xfId="0" applyNumberFormat="1" applyFont="1" applyBorder="1"/>
    <xf numFmtId="3" fontId="3" fillId="0" borderId="46" xfId="0" applyNumberFormat="1" applyFont="1" applyFill="1" applyBorder="1" applyAlignment="1">
      <alignment horizontal="center"/>
    </xf>
    <xf numFmtId="0" fontId="2" fillId="0" borderId="12" xfId="0" applyFont="1" applyBorder="1" applyAlignment="1">
      <alignment horizontal="center"/>
    </xf>
    <xf numFmtId="165" fontId="2" fillId="0" borderId="0" xfId="3" applyNumberFormat="1" applyFont="1" applyBorder="1" applyAlignment="1">
      <alignment horizontal="left"/>
    </xf>
    <xf numFmtId="0" fontId="3" fillId="0" borderId="10" xfId="0" applyFont="1" applyFill="1" applyBorder="1" applyAlignment="1">
      <alignment horizontal="right"/>
    </xf>
    <xf numFmtId="3" fontId="2" fillId="0" borderId="1" xfId="0" applyNumberFormat="1" applyFont="1" applyFill="1" applyBorder="1" applyAlignment="1">
      <alignment horizontal="center"/>
    </xf>
    <xf numFmtId="0" fontId="2" fillId="0" borderId="10" xfId="0" applyFont="1" applyFill="1" applyBorder="1" applyAlignment="1">
      <alignment horizontal="right"/>
    </xf>
    <xf numFmtId="10" fontId="2" fillId="0" borderId="1" xfId="0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10" fontId="2" fillId="0" borderId="1" xfId="3" applyNumberFormat="1" applyFont="1" applyFill="1" applyBorder="1" applyAlignment="1">
      <alignment horizontal="left"/>
    </xf>
    <xf numFmtId="10" fontId="2" fillId="0" borderId="21" xfId="0" applyNumberFormat="1" applyFont="1" applyFill="1" applyBorder="1" applyAlignment="1">
      <alignment horizontal="left"/>
    </xf>
    <xf numFmtId="3" fontId="2" fillId="3" borderId="8" xfId="0" applyNumberFormat="1" applyFont="1" applyFill="1" applyBorder="1" applyAlignment="1">
      <alignment horizontal="center"/>
    </xf>
    <xf numFmtId="167" fontId="2" fillId="0" borderId="11" xfId="0" applyNumberFormat="1" applyFont="1" applyFill="1" applyBorder="1" applyAlignment="1">
      <alignment horizontal="left"/>
    </xf>
    <xf numFmtId="10" fontId="2" fillId="0" borderId="11" xfId="0" applyNumberFormat="1" applyFont="1" applyFill="1" applyBorder="1" applyAlignment="1">
      <alignment horizontal="left"/>
    </xf>
    <xf numFmtId="182" fontId="2" fillId="0" borderId="39" xfId="0" applyNumberFormat="1" applyFont="1" applyBorder="1"/>
    <xf numFmtId="0" fontId="3" fillId="0" borderId="43" xfId="0" applyFont="1" applyBorder="1" applyAlignment="1">
      <alignment horizontal="right"/>
    </xf>
    <xf numFmtId="3" fontId="3" fillId="0" borderId="18" xfId="0" applyNumberFormat="1" applyFont="1" applyBorder="1" applyAlignment="1">
      <alignment horizontal="center"/>
    </xf>
    <xf numFmtId="3" fontId="3" fillId="0" borderId="44" xfId="0" applyNumberFormat="1" applyFont="1" applyBorder="1" applyAlignment="1">
      <alignment horizontal="center"/>
    </xf>
    <xf numFmtId="0" fontId="3" fillId="0" borderId="45" xfId="0" applyFont="1" applyBorder="1" applyAlignment="1">
      <alignment horizontal="right"/>
    </xf>
    <xf numFmtId="3" fontId="3" fillId="0" borderId="46" xfId="0" applyNumberFormat="1" applyFont="1" applyBorder="1" applyAlignment="1">
      <alignment horizontal="center"/>
    </xf>
    <xf numFmtId="165" fontId="3" fillId="0" borderId="0" xfId="0" applyNumberFormat="1" applyFont="1" applyFill="1" applyAlignment="1">
      <alignment horizontal="center"/>
    </xf>
    <xf numFmtId="165" fontId="3" fillId="0" borderId="0" xfId="3" applyNumberFormat="1" applyFont="1" applyFill="1" applyAlignment="1">
      <alignment horizontal="center"/>
    </xf>
    <xf numFmtId="9" fontId="3" fillId="3" borderId="0" xfId="3" applyFont="1" applyFill="1" applyBorder="1" applyAlignment="1">
      <alignment horizontal="center"/>
    </xf>
    <xf numFmtId="9" fontId="3" fillId="0" borderId="12" xfId="3" applyFont="1" applyFill="1" applyBorder="1" applyAlignment="1">
      <alignment horizontal="center"/>
    </xf>
    <xf numFmtId="0" fontId="3" fillId="0" borderId="11" xfId="0" applyFont="1" applyFill="1" applyBorder="1" applyAlignment="1">
      <alignment horizontal="right"/>
    </xf>
    <xf numFmtId="165" fontId="2" fillId="6" borderId="8" xfId="3" applyNumberFormat="1" applyFont="1" applyFill="1" applyBorder="1" applyAlignment="1">
      <alignment horizontal="center" vertical="center"/>
    </xf>
  </cellXfs>
  <cellStyles count="4">
    <cellStyle name="Hipervínculo" xfId="1" builtinId="8"/>
    <cellStyle name="Millares [0]" xfId="2" builtinId="6"/>
    <cellStyle name="Normal" xfId="0" builtinId="0"/>
    <cellStyle name="Porcentaje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_tradnl" sz="1200"/>
              <a:t>Evolución de las inversiones</a:t>
            </a:r>
          </a:p>
        </c:rich>
      </c:tx>
      <c:layout/>
      <c:overlay val="0"/>
      <c:spPr>
        <a:solidFill>
          <a:schemeClr val="accent3">
            <a:lumMod val="20000"/>
            <a:lumOff val="80000"/>
          </a:schemeClr>
        </a:solidFill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INVERSIONES!$B$53</c:f>
              <c:strCache>
                <c:ptCount val="1"/>
                <c:pt idx="0">
                  <c:v>INMOVILIZADO MATERIAL</c:v>
                </c:pt>
              </c:strCache>
            </c:strRef>
          </c:tx>
          <c:invertIfNegative val="0"/>
          <c:val>
            <c:numRef>
              <c:f>INVERSIONES!$C$53:$J$53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INVERSIONES!$B$54</c:f>
              <c:strCache>
                <c:ptCount val="1"/>
                <c:pt idx="0">
                  <c:v>INMOVILIZADO INTANGIBLE</c:v>
                </c:pt>
              </c:strCache>
            </c:strRef>
          </c:tx>
          <c:spPr>
            <a:pattFill prst="pct80">
              <a:fgClr>
                <a:srgbClr val="C00000"/>
              </a:fgClr>
              <a:bgClr>
                <a:schemeClr val="bg1"/>
              </a:bgClr>
            </a:pattFill>
          </c:spPr>
          <c:invertIfNegative val="0"/>
          <c:val>
            <c:numRef>
              <c:f>INVERSIONES!$C$54:$J$54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9256960"/>
        <c:axId val="63513152"/>
      </c:barChart>
      <c:catAx>
        <c:axId val="24925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63513152"/>
        <c:crosses val="autoZero"/>
        <c:auto val="1"/>
        <c:lblAlgn val="ctr"/>
        <c:lblOffset val="100"/>
        <c:noMultiLvlLbl val="0"/>
      </c:catAx>
      <c:valAx>
        <c:axId val="6351315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/>
            </a:pPr>
            <a:endParaRPr lang="es-ES"/>
          </a:p>
        </c:txPr>
        <c:crossAx val="24925696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spPr>
    <a:solidFill>
      <a:schemeClr val="accent6">
        <a:lumMod val="20000"/>
        <a:lumOff val="80000"/>
        <a:alpha val="50000"/>
      </a:schemeClr>
    </a:solidFill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_tradnl" sz="1200"/>
              <a:t>VAN</a:t>
            </a:r>
            <a:r>
              <a:rPr lang="es-ES_tradnl" sz="1200" baseline="0"/>
              <a:t> según tasa de descuento</a:t>
            </a:r>
            <a:endParaRPr lang="es-ES_tradnl" sz="1200"/>
          </a:p>
        </c:rich>
      </c:tx>
      <c:layout>
        <c:manualLayout>
          <c:xMode val="edge"/>
          <c:yMode val="edge"/>
          <c:x val="0.39174999999999999"/>
          <c:y val="6.4814814814814811E-2"/>
        </c:manualLayout>
      </c:layout>
      <c:overlay val="1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RENTABILIDAD!$B$34:$B$64</c:f>
              <c:numCache>
                <c:formatCode>0%</c:formatCode>
                <c:ptCount val="31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6.0000000000000005E-2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9.9999999999999992E-2</c:v>
                </c:pt>
                <c:pt idx="10">
                  <c:v>0.10999999999999999</c:v>
                </c:pt>
                <c:pt idx="11">
                  <c:v>0.11999999999999998</c:v>
                </c:pt>
                <c:pt idx="12">
                  <c:v>0.12999999999999998</c:v>
                </c:pt>
                <c:pt idx="13">
                  <c:v>0.13999999999999999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0.18000000000000002</c:v>
                </c:pt>
                <c:pt idx="18">
                  <c:v>0.19000000000000003</c:v>
                </c:pt>
                <c:pt idx="19">
                  <c:v>0.20000000000000004</c:v>
                </c:pt>
                <c:pt idx="20">
                  <c:v>0.21000000000000005</c:v>
                </c:pt>
                <c:pt idx="21">
                  <c:v>0.22000000000000006</c:v>
                </c:pt>
                <c:pt idx="22">
                  <c:v>0.23000000000000007</c:v>
                </c:pt>
                <c:pt idx="23">
                  <c:v>0.24000000000000007</c:v>
                </c:pt>
                <c:pt idx="24">
                  <c:v>0.25000000000000006</c:v>
                </c:pt>
                <c:pt idx="25">
                  <c:v>0.26000000000000006</c:v>
                </c:pt>
                <c:pt idx="26">
                  <c:v>0.27000000000000007</c:v>
                </c:pt>
                <c:pt idx="27">
                  <c:v>0.28000000000000008</c:v>
                </c:pt>
                <c:pt idx="28">
                  <c:v>0.29000000000000009</c:v>
                </c:pt>
                <c:pt idx="29">
                  <c:v>0.3000000000000001</c:v>
                </c:pt>
                <c:pt idx="30">
                  <c:v>0.31000000000000011</c:v>
                </c:pt>
              </c:numCache>
            </c:numRef>
          </c:cat>
          <c:val>
            <c:numRef>
              <c:f>RENTABILIDAD!$C$34:$C$64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051840"/>
        <c:axId val="111128512"/>
      </c:lineChart>
      <c:catAx>
        <c:axId val="174051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Tasa de descuento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11128512"/>
        <c:crosses val="autoZero"/>
        <c:auto val="1"/>
        <c:lblAlgn val="ctr"/>
        <c:lblOffset val="100"/>
        <c:noMultiLvlLbl val="0"/>
      </c:catAx>
      <c:valAx>
        <c:axId val="111128512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4051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_tradnl" sz="1200"/>
              <a:t>VAN y TIR según escenarios</a:t>
            </a:r>
          </a:p>
        </c:rich>
      </c:tx>
      <c:layout>
        <c:manualLayout>
          <c:xMode val="edge"/>
          <c:yMode val="edge"/>
          <c:x val="0.3680672107767351"/>
          <c:y val="3.83141762452107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68917631399059"/>
          <c:y val="0.21456018977561456"/>
          <c:w val="0.80000065651314611"/>
          <c:h val="0.69348918481046617"/>
        </c:manualLayout>
      </c:layout>
      <c:barChart>
        <c:barDir val="col"/>
        <c:grouping val="clustered"/>
        <c:varyColors val="0"/>
        <c:ser>
          <c:idx val="1"/>
          <c:order val="0"/>
          <c:tx>
            <c:v>VAN</c:v>
          </c:tx>
          <c:spPr>
            <a:solidFill>
              <a:srgbClr val="A6CA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RIESGO!$D$14:$F$14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RIESGO!$D$15:$F$15</c:f>
              <c:numCache>
                <c:formatCode>#,##0" Eur";\-#,##0" Eur"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051328"/>
        <c:axId val="111129664"/>
      </c:barChart>
      <c:lineChart>
        <c:grouping val="standard"/>
        <c:varyColors val="0"/>
        <c:ser>
          <c:idx val="0"/>
          <c:order val="1"/>
          <c:tx>
            <c:v>TIR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RIESGO!$D$14:$F$14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RIESGO!$D$16:$F$16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v>TIR del Capital</c:v>
          </c:tx>
          <c:cat>
            <c:strRef>
              <c:f>RIESGO!$D$14:$F$14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RIESGO!$D$17:$F$17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054912"/>
        <c:axId val="111130240"/>
      </c:lineChart>
      <c:catAx>
        <c:axId val="1740513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1129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11296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051328"/>
        <c:crosses val="autoZero"/>
        <c:crossBetween val="between"/>
      </c:valAx>
      <c:catAx>
        <c:axId val="174054912"/>
        <c:scaling>
          <c:orientation val="minMax"/>
        </c:scaling>
        <c:delete val="1"/>
        <c:axPos val="b"/>
        <c:majorTickMark val="out"/>
        <c:minorTickMark val="none"/>
        <c:tickLblPos val="nextTo"/>
        <c:crossAx val="111130240"/>
        <c:crosses val="autoZero"/>
        <c:auto val="0"/>
        <c:lblAlgn val="ctr"/>
        <c:lblOffset val="100"/>
        <c:noMultiLvlLbl val="0"/>
      </c:catAx>
      <c:valAx>
        <c:axId val="111130240"/>
        <c:scaling>
          <c:orientation val="minMax"/>
        </c:scaling>
        <c:delete val="0"/>
        <c:axPos val="r"/>
        <c:numFmt formatCode="0%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054912"/>
        <c:crosses val="max"/>
        <c:crossBetween val="between"/>
      </c:valAx>
      <c:spPr>
        <a:noFill/>
        <a:ln w="12700">
          <a:noFill/>
          <a:prstDash val="solid"/>
        </a:ln>
      </c:spPr>
    </c:plotArea>
    <c:legend>
      <c:legendPos val="b"/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Page &amp;P</c:oddFooter>
    </c:headerFooter>
    <c:pageMargins b="1" l="0.75000000000000122" r="0.75000000000000122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_tradnl" sz="1200"/>
              <a:t>Estructura de los escenarios</a:t>
            </a:r>
          </a:p>
        </c:rich>
      </c:tx>
      <c:layout>
        <c:manualLayout>
          <c:xMode val="edge"/>
          <c:yMode val="edge"/>
          <c:x val="0.35708268898820084"/>
          <c:y val="2.14477538133820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81160688247303E-2"/>
          <c:y val="0.12337975114221851"/>
          <c:w val="0.78928644389621194"/>
          <c:h val="0.61870399533391662"/>
        </c:manualLayout>
      </c:layout>
      <c:barChart>
        <c:barDir val="bar"/>
        <c:grouping val="clustered"/>
        <c:varyColors val="0"/>
        <c:ser>
          <c:idx val="0"/>
          <c:order val="0"/>
          <c:tx>
            <c:v>Pesimista</c:v>
          </c:tx>
          <c:spPr>
            <a:pattFill prst="pct75">
              <a:fgClr>
                <a:schemeClr val="accent1"/>
              </a:fgClr>
              <a:bgClr>
                <a:schemeClr val="bg1"/>
              </a:bgClr>
            </a:pattFill>
          </c:spPr>
          <c:invertIfNegative val="0"/>
          <c:cat>
            <c:strRef>
              <c:f>RIESGO!$B$7:$B$12</c:f>
              <c:strCache>
                <c:ptCount val="6"/>
                <c:pt idx="0">
                  <c:v>Inversión</c:v>
                </c:pt>
                <c:pt idx="1">
                  <c:v>Nivel de Actividad</c:v>
                </c:pt>
                <c:pt idx="2">
                  <c:v>Precio</c:v>
                </c:pt>
                <c:pt idx="3">
                  <c:v>Costes</c:v>
                </c:pt>
                <c:pt idx="4">
                  <c:v>Crecimiento</c:v>
                </c:pt>
                <c:pt idx="5">
                  <c:v>Subvenciones</c:v>
                </c:pt>
              </c:strCache>
            </c:strRef>
          </c:cat>
          <c:val>
            <c:numRef>
              <c:f>RIESGO!$D$7:$D$12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v>Optimista</c:v>
          </c:tx>
          <c:invertIfNegative val="0"/>
          <c:cat>
            <c:strRef>
              <c:f>RIESGO!$B$7:$B$12</c:f>
              <c:strCache>
                <c:ptCount val="6"/>
                <c:pt idx="0">
                  <c:v>Inversión</c:v>
                </c:pt>
                <c:pt idx="1">
                  <c:v>Nivel de Actividad</c:v>
                </c:pt>
                <c:pt idx="2">
                  <c:v>Precio</c:v>
                </c:pt>
                <c:pt idx="3">
                  <c:v>Costes</c:v>
                </c:pt>
                <c:pt idx="4">
                  <c:v>Crecimiento</c:v>
                </c:pt>
                <c:pt idx="5">
                  <c:v>Subvenciones</c:v>
                </c:pt>
              </c:strCache>
            </c:strRef>
          </c:cat>
          <c:val>
            <c:numRef>
              <c:f>RIESGO!$F$7:$F$12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9650176"/>
        <c:axId val="209608704"/>
      </c:barChart>
      <c:catAx>
        <c:axId val="2096501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09608704"/>
        <c:crossesAt val="1"/>
        <c:auto val="1"/>
        <c:lblAlgn val="ctr"/>
        <c:lblOffset val="100"/>
        <c:noMultiLvlLbl val="0"/>
      </c:catAx>
      <c:valAx>
        <c:axId val="209608704"/>
        <c:scaling>
          <c:orientation val="minMax"/>
          <c:max val="1.1500000000000001"/>
          <c:min val="0.85000000000000064"/>
        </c:scaling>
        <c:delete val="0"/>
        <c:axPos val="b"/>
        <c:numFmt formatCode="0%" sourceLinked="0"/>
        <c:majorTickMark val="out"/>
        <c:minorTickMark val="out"/>
        <c:tickLblPos val="nextTo"/>
        <c:txPr>
          <a:bodyPr rot="-36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096501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175148201088207"/>
          <c:y val="0.41040452732079513"/>
          <c:w val="0.19186452022238351"/>
          <c:h val="0.1603165617369724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Variación respecto a VAN base</a:t>
            </a:r>
          </a:p>
        </c:rich>
      </c:tx>
      <c:layout>
        <c:manualLayout>
          <c:xMode val="edge"/>
          <c:yMode val="edge"/>
          <c:x val="0.2870048101876973"/>
          <c:y val="1.9538694343894667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2380652210639"/>
          <c:y val="0.18650341103093229"/>
          <c:w val="0.63353330553054099"/>
          <c:h val="0.745131233595800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RIESGO!$C$64</c:f>
              <c:strCache>
                <c:ptCount val="1"/>
                <c:pt idx="0">
                  <c:v>Pesimista</c:v>
                </c:pt>
              </c:strCache>
            </c:strRef>
          </c:tx>
          <c:spPr>
            <a:pattFill prst="pct75">
              <a:fgClr>
                <a:schemeClr val="accent1"/>
              </a:fgClr>
              <a:bgClr>
                <a:schemeClr val="bg1"/>
              </a:bgClr>
            </a:pattFill>
          </c:spPr>
          <c:invertIfNegative val="0"/>
          <c:dLbls>
            <c:dLbl>
              <c:idx val="0"/>
              <c:layout>
                <c:manualLayout>
                  <c:x val="-6.0984047673198816E-2"/>
                  <c:y val="-4.8117397356498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036028170526591E-2"/>
                  <c:y val="-3.84939178851987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6036028170526591E-2"/>
                  <c:y val="-3.84939178851987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6036028170526535E-2"/>
                  <c:y val="-4.3305657620848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RIESGO!$B$65:$B$70</c:f>
              <c:numCache>
                <c:formatCode>General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cat>
          <c:val>
            <c:numRef>
              <c:f>RIESGO!$C$65:$C$70</c:f>
              <c:numCache>
                <c:formatCode>#,##0_ ;\-#,##0\ 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</c:ser>
        <c:ser>
          <c:idx val="1"/>
          <c:order val="1"/>
          <c:tx>
            <c:strRef>
              <c:f>RIESGO!$D$64</c:f>
              <c:strCache>
                <c:ptCount val="1"/>
                <c:pt idx="0">
                  <c:v>Optimista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RIESGO!$B$65:$B$70</c:f>
              <c:numCache>
                <c:formatCode>General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cat>
          <c:val>
            <c:numRef>
              <c:f>RIESGO!$D$65:$D$70</c:f>
              <c:numCache>
                <c:formatCode>#,##0_ ;\-#,##0\ 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9651200"/>
        <c:axId val="209610432"/>
      </c:barChart>
      <c:catAx>
        <c:axId val="20965120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900"/>
            </a:pPr>
            <a:endParaRPr lang="es-ES"/>
          </a:p>
        </c:txPr>
        <c:crossAx val="209610432"/>
        <c:crosses val="autoZero"/>
        <c:auto val="1"/>
        <c:lblAlgn val="ctr"/>
        <c:lblOffset val="100"/>
        <c:noMultiLvlLbl val="0"/>
      </c:catAx>
      <c:valAx>
        <c:axId val="209610432"/>
        <c:scaling>
          <c:orientation val="minMax"/>
        </c:scaling>
        <c:delete val="0"/>
        <c:axPos val="t"/>
        <c:numFmt formatCode="#,##0_ ;\-#,##0\ 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2096512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28412847597067"/>
          <c:y val="0.91298972712510296"/>
          <c:w val="0.3343174304805866"/>
          <c:h val="8.7010272874897043E-2"/>
        </c:manualLayout>
      </c:layout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Matriz de sensibilidad del VAN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RIESGO!$B$41</c:f>
              <c:strCache>
                <c:ptCount val="1"/>
                <c:pt idx="0">
                  <c:v>Inversión</c:v>
                </c:pt>
              </c:strCache>
            </c:strRef>
          </c:tx>
          <c:cat>
            <c:strRef>
              <c:f>RIESGO!$C$40:$E$40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RIESGO!$C$42:$E$42</c:f>
              <c:numCache>
                <c:formatCode>#,##0_ ;\-#,##0\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RIESGO!$B$43</c:f>
              <c:strCache>
                <c:ptCount val="1"/>
                <c:pt idx="0">
                  <c:v>Nivel de Actividad</c:v>
                </c:pt>
              </c:strCache>
            </c:strRef>
          </c:tx>
          <c:cat>
            <c:strRef>
              <c:f>RIESGO!$C$40:$E$40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RIESGO!$C$44:$E$44</c:f>
              <c:numCache>
                <c:formatCode>#,##0_ ;\-#,##0\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RIESGO!$B$45</c:f>
              <c:strCache>
                <c:ptCount val="1"/>
                <c:pt idx="0">
                  <c:v>Precio</c:v>
                </c:pt>
              </c:strCache>
            </c:strRef>
          </c:tx>
          <c:cat>
            <c:strRef>
              <c:f>RIESGO!$C$40:$E$40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RIESGO!$C$46:$E$46</c:f>
              <c:numCache>
                <c:formatCode>#,##0_ ;\-#,##0\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RIESGO!$B$47</c:f>
              <c:strCache>
                <c:ptCount val="1"/>
                <c:pt idx="0">
                  <c:v>Costes</c:v>
                </c:pt>
              </c:strCache>
            </c:strRef>
          </c:tx>
          <c:cat>
            <c:strRef>
              <c:f>RIESGO!$C$40:$E$40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RIESGO!$C$48:$E$48</c:f>
              <c:numCache>
                <c:formatCode>#,##0_ ;\-#,##0\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RIESGO!$B$49</c:f>
              <c:strCache>
                <c:ptCount val="1"/>
                <c:pt idx="0">
                  <c:v>Crecimiento</c:v>
                </c:pt>
              </c:strCache>
            </c:strRef>
          </c:tx>
          <c:cat>
            <c:strRef>
              <c:f>RIESGO!$C$40:$E$40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RIESGO!$C$50:$E$50</c:f>
              <c:numCache>
                <c:formatCode>#,##0_ ;\-#,##0\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RIESGO!$B$51</c:f>
              <c:strCache>
                <c:ptCount val="1"/>
                <c:pt idx="0">
                  <c:v>Subvenciones</c:v>
                </c:pt>
              </c:strCache>
            </c:strRef>
          </c:tx>
          <c:cat>
            <c:strRef>
              <c:f>RIESGO!$C$40:$E$40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RIESGO!$C$52:$E$52</c:f>
              <c:numCache>
                <c:formatCode>#,##0_ ;\-#,##0\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651712"/>
        <c:axId val="209612736"/>
      </c:lineChart>
      <c:catAx>
        <c:axId val="20965171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209612736"/>
        <c:crosses val="autoZero"/>
        <c:auto val="1"/>
        <c:lblAlgn val="ctr"/>
        <c:lblOffset val="100"/>
        <c:noMultiLvlLbl val="0"/>
      </c:catAx>
      <c:valAx>
        <c:axId val="209612736"/>
        <c:scaling>
          <c:orientation val="minMax"/>
        </c:scaling>
        <c:delete val="0"/>
        <c:axPos val="l"/>
        <c:numFmt formatCode="#,##0_ ;\-#,##0\ 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2096517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EQUILIBRIO!$H$15</c:f>
          <c:strCache>
            <c:ptCount val="1"/>
            <c:pt idx="0">
              <c:v>Análisis de equilibrio, año 1</c:v>
            </c:pt>
          </c:strCache>
        </c:strRef>
      </c:tx>
      <c:overlay val="0"/>
      <c:spPr>
        <a:solidFill>
          <a:schemeClr val="accent3">
            <a:lumMod val="20000"/>
            <a:lumOff val="80000"/>
          </a:schemeClr>
        </a:solidFill>
      </c:spPr>
      <c:txPr>
        <a:bodyPr/>
        <a:lstStyle/>
        <a:p>
          <a:pPr>
            <a:defRPr sz="1200" b="1">
              <a:latin typeface="+mn-lt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813922513417171"/>
          <c:y val="6.213970167309333E-2"/>
          <c:w val="0.8006567164179107"/>
          <c:h val="0.65340957493640583"/>
        </c:manualLayout>
      </c:layout>
      <c:lineChart>
        <c:grouping val="standard"/>
        <c:varyColors val="0"/>
        <c:ser>
          <c:idx val="0"/>
          <c:order val="0"/>
          <c:tx>
            <c:v>Ingresos</c:v>
          </c:tx>
          <c:spPr>
            <a:ln w="38100">
              <a:solidFill>
                <a:srgbClr val="339933"/>
              </a:solidFill>
              <a:prstDash val="solid"/>
            </a:ln>
          </c:spPr>
          <c:marker>
            <c:symbol val="star"/>
            <c:size val="9"/>
            <c:spPr>
              <a:noFill/>
              <a:ln>
                <a:solidFill>
                  <a:srgbClr val="339933"/>
                </a:solidFill>
                <a:prstDash val="solid"/>
              </a:ln>
            </c:spPr>
          </c:marker>
          <c:cat>
            <c:numRef>
              <c:f>EQUILIBRIO!$C$16:$I$16</c:f>
              <c:numCache>
                <c:formatCode>0.0%</c:formatCode>
                <c:ptCount val="7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  <c:pt idx="5">
                  <c:v>1.2</c:v>
                </c:pt>
                <c:pt idx="6">
                  <c:v>1.4</c:v>
                </c:pt>
              </c:numCache>
            </c:numRef>
          </c:cat>
          <c:val>
            <c:numRef>
              <c:f>EQUILIBRIO!$C$17:$I$17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v>Costes Fijos</c:v>
          </c:tx>
          <c:spPr>
            <a:ln w="38100">
              <a:solidFill>
                <a:srgbClr val="FF00FF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EQUILIBRIO!$C$16:$I$16</c:f>
              <c:numCache>
                <c:formatCode>0.0%</c:formatCode>
                <c:ptCount val="7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  <c:pt idx="5">
                  <c:v>1.2</c:v>
                </c:pt>
                <c:pt idx="6">
                  <c:v>1.4</c:v>
                </c:pt>
              </c:numCache>
            </c:numRef>
          </c:cat>
          <c:val>
            <c:numRef>
              <c:f>EQUILIBRIO!$C$18:$I$18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v>Costes Totales</c:v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EQUILIBRIO!$C$16:$I$16</c:f>
              <c:numCache>
                <c:formatCode>0.0%</c:formatCode>
                <c:ptCount val="7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  <c:pt idx="5">
                  <c:v>1.2</c:v>
                </c:pt>
                <c:pt idx="6">
                  <c:v>1.4</c:v>
                </c:pt>
              </c:numCache>
            </c:numRef>
          </c:cat>
          <c:val>
            <c:numRef>
              <c:f>EQUILIBRIO!$C$19:$I$19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39072"/>
        <c:axId val="209615040"/>
      </c:lineChart>
      <c:catAx>
        <c:axId val="209539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Porcentaje de actividad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9615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961504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95390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08173106268693"/>
          <c:y val="0.91046688703161249"/>
          <c:w val="0.78060123298541173"/>
          <c:h val="8.6625818530362872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accent6">
        <a:lumMod val="20000"/>
        <a:lumOff val="80000"/>
        <a:alpha val="50000"/>
      </a:schemeClr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n-US" b="1"/>
              <a:t>Evolución de Ingresos, Costes Fijos y Totales</a:t>
            </a:r>
          </a:p>
        </c:rich>
      </c:tx>
      <c:overlay val="0"/>
      <c:spPr>
        <a:solidFill>
          <a:schemeClr val="accent3">
            <a:lumMod val="20000"/>
            <a:lumOff val="80000"/>
          </a:schemeClr>
        </a:solidFill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INGRESOS</c:v>
          </c:tx>
          <c:cat>
            <c:numRef>
              <c:f>EQUILIBRIO!$C$4:$I$4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EQUILIBRIO!$C$6:$I$6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v>COSTES FIJOS</c:v>
          </c:tx>
          <c:cat>
            <c:numRef>
              <c:f>EQUILIBRIO!$C$4:$I$4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EQUILIBRIO!$C$9:$I$9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v>COSTES TOTALES</c:v>
          </c:tx>
          <c:cat>
            <c:numRef>
              <c:f>EQUILIBRIO!$C$4:$I$4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EQUILIBRIO!$C$10:$I$10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40096"/>
        <c:axId val="210076224"/>
      </c:lineChart>
      <c:catAx>
        <c:axId val="209540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Año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076224"/>
        <c:crosses val="autoZero"/>
        <c:auto val="1"/>
        <c:lblAlgn val="ctr"/>
        <c:lblOffset val="100"/>
        <c:noMultiLvlLbl val="0"/>
      </c:catAx>
      <c:valAx>
        <c:axId val="210076224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0954009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22921530665974"/>
          <c:y val="0.88023517376355043"/>
          <c:w val="0.67690318917269976"/>
          <c:h val="8.4650705343547628E-2"/>
        </c:manualLayout>
      </c:layout>
      <c:overlay val="0"/>
      <c:spPr>
        <a:solidFill>
          <a:srgbClr val="FFFFFF"/>
        </a:solidFill>
        <a:ln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accent6">
        <a:lumMod val="20000"/>
        <a:lumOff val="80000"/>
        <a:alpha val="5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Evolución de la Amortización</a:t>
            </a:r>
          </a:p>
        </c:rich>
      </c:tx>
      <c:layout/>
      <c:overlay val="0"/>
      <c:spPr>
        <a:solidFill>
          <a:schemeClr val="accent3">
            <a:lumMod val="20000"/>
            <a:lumOff val="80000"/>
          </a:schemeClr>
        </a:solidFill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INVERSIONES!$I$45</c:f>
              <c:strCache>
                <c:ptCount val="1"/>
                <c:pt idx="0">
                  <c:v>AMORTIZACIÓN INMOVILIZADO MATERIAL</c:v>
                </c:pt>
              </c:strCache>
            </c:strRef>
          </c:tx>
          <c:invertIfNegative val="0"/>
          <c:val>
            <c:numRef>
              <c:f>INVERSIONES!$J$45:$P$45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INVERSIONES!$I$46</c:f>
              <c:strCache>
                <c:ptCount val="1"/>
                <c:pt idx="0">
                  <c:v>AMORTIZACIÓN INMOVILIZADO INTANGIBLE</c:v>
                </c:pt>
              </c:strCache>
            </c:strRef>
          </c:tx>
          <c:spPr>
            <a:pattFill prst="pct80">
              <a:fgClr>
                <a:srgbClr val="C00000"/>
              </a:fgClr>
              <a:bgClr>
                <a:schemeClr val="bg1"/>
              </a:bgClr>
            </a:pattFill>
          </c:spPr>
          <c:invertIfNegative val="0"/>
          <c:val>
            <c:numRef>
              <c:f>INVERSIONES!$J$46:$P$46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380864"/>
        <c:axId val="63514880"/>
      </c:barChart>
      <c:catAx>
        <c:axId val="24938086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63514880"/>
        <c:crosses val="autoZero"/>
        <c:auto val="1"/>
        <c:lblAlgn val="ctr"/>
        <c:lblOffset val="100"/>
        <c:noMultiLvlLbl val="0"/>
      </c:catAx>
      <c:valAx>
        <c:axId val="63514880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24938086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spPr>
    <a:solidFill>
      <a:schemeClr val="accent6">
        <a:lumMod val="20000"/>
        <a:lumOff val="80000"/>
        <a:alpha val="50000"/>
      </a:schemeClr>
    </a:solidFill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_tradnl" sz="1200"/>
              <a:t>Evolución de ingresos</a:t>
            </a:r>
            <a:r>
              <a:rPr lang="es-ES_tradnl" sz="1200" baseline="0"/>
              <a:t> </a:t>
            </a:r>
            <a:r>
              <a:rPr lang="es-ES_tradnl" sz="1200"/>
              <a:t>y crecimiento en ventas</a:t>
            </a:r>
          </a:p>
        </c:rich>
      </c:tx>
      <c:layout>
        <c:manualLayout>
          <c:xMode val="edge"/>
          <c:yMode val="edge"/>
          <c:x val="0.20438779406717808"/>
          <c:y val="1.51658646835812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68920513376196"/>
          <c:y val="0.11270851560221638"/>
          <c:w val="0.80000065651314634"/>
          <c:h val="0.6934891848104660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INCO!$C$40</c:f>
              <c:strCache>
                <c:ptCount val="1"/>
                <c:pt idx="0">
                  <c:v>INGRESOS TOTALES</c:v>
                </c:pt>
              </c:strCache>
            </c:strRef>
          </c:tx>
          <c:spPr>
            <a:solidFill>
              <a:srgbClr val="A6CA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INCO!$D$43:$J$43</c:f>
              <c:numCache>
                <c:formatCode>#,##0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INCO!$D$40:$J$40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381376"/>
        <c:axId val="63516608"/>
      </c:barChart>
      <c:lineChart>
        <c:grouping val="standard"/>
        <c:varyColors val="0"/>
        <c:ser>
          <c:idx val="0"/>
          <c:order val="1"/>
          <c:tx>
            <c:strRef>
              <c:f>INCO!$C$41</c:f>
              <c:strCache>
                <c:ptCount val="1"/>
                <c:pt idx="0">
                  <c:v>Crecimiento 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INCO!$D$41:$J$41</c:f>
              <c:numCache>
                <c:formatCode>0.0%</c:formatCode>
                <c:ptCount val="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382400"/>
        <c:axId val="63517184"/>
      </c:lineChart>
      <c:catAx>
        <c:axId val="24938137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5166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635166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49381376"/>
        <c:crosses val="autoZero"/>
        <c:crossBetween val="between"/>
      </c:valAx>
      <c:catAx>
        <c:axId val="249382400"/>
        <c:scaling>
          <c:orientation val="minMax"/>
        </c:scaling>
        <c:delete val="1"/>
        <c:axPos val="b"/>
        <c:majorTickMark val="out"/>
        <c:minorTickMark val="none"/>
        <c:tickLblPos val="nextTo"/>
        <c:crossAx val="63517184"/>
        <c:crosses val="autoZero"/>
        <c:auto val="0"/>
        <c:lblAlgn val="ctr"/>
        <c:lblOffset val="100"/>
        <c:noMultiLvlLbl val="0"/>
      </c:catAx>
      <c:valAx>
        <c:axId val="63517184"/>
        <c:scaling>
          <c:orientation val="minMax"/>
        </c:scaling>
        <c:delete val="0"/>
        <c:axPos val="r"/>
        <c:numFmt formatCode="0%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49382400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3554177662397084E-2"/>
          <c:y val="0.90278069407990669"/>
          <c:w val="0.66870990581218215"/>
          <c:h val="6.9444808982210504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Page &amp;P</c:oddFooter>
    </c:headerFooter>
    <c:pageMargins b="1" l="0.75000000000000133" r="0.75000000000000133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_tradnl" sz="1200"/>
              <a:t>Reparto de costes fijos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2.5035004498677018E-3"/>
                  <c:y val="-2.4523494655617969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4200699557585777E-2"/>
                  <c:y val="-9.7945961685451874E-3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INCO!$C$44:$C$49</c:f>
              <c:strCache>
                <c:ptCount val="6"/>
                <c:pt idx="0">
                  <c:v>Personal</c:v>
                </c:pt>
                <c:pt idx="1">
                  <c:v>Suministros</c:v>
                </c:pt>
                <c:pt idx="2">
                  <c:v>Gastos Generales</c:v>
                </c:pt>
                <c:pt idx="3">
                  <c:v>Alquileres</c:v>
                </c:pt>
                <c:pt idx="4">
                  <c:v>Seguros y Tributos</c:v>
                </c:pt>
                <c:pt idx="5">
                  <c:v>Otros</c:v>
                </c:pt>
              </c:strCache>
            </c:strRef>
          </c:cat>
          <c:val>
            <c:numRef>
              <c:f>INCO!$D$44:$D$49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_tradnl" sz="1200"/>
              <a:t>Evolución</a:t>
            </a:r>
            <a:r>
              <a:rPr lang="es-ES_tradnl" sz="1200" baseline="0"/>
              <a:t> de ingresos</a:t>
            </a:r>
            <a:endParaRPr lang="es-ES_tradnl" sz="12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INCO!$B$10</c:f>
              <c:strCache>
                <c:ptCount val="1"/>
                <c:pt idx="0">
                  <c:v>Linea A</c:v>
                </c:pt>
              </c:strCache>
            </c:strRef>
          </c:tx>
          <c:invertIfNegative val="0"/>
          <c:val>
            <c:numRef>
              <c:f>INCO!$D$11:$J$11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INCO!$B$16</c:f>
              <c:strCache>
                <c:ptCount val="1"/>
                <c:pt idx="0">
                  <c:v>Linea B</c:v>
                </c:pt>
              </c:strCache>
            </c:strRef>
          </c:tx>
          <c:invertIfNegative val="0"/>
          <c:val>
            <c:numRef>
              <c:f>INCO!$D$17:$J$17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INCO!$B$22</c:f>
              <c:strCache>
                <c:ptCount val="1"/>
                <c:pt idx="0">
                  <c:v>Linea C</c:v>
                </c:pt>
              </c:strCache>
            </c:strRef>
          </c:tx>
          <c:invertIfNegative val="0"/>
          <c:val>
            <c:numRef>
              <c:f>INCO!$D$23:$J$23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3"/>
          <c:order val="3"/>
          <c:tx>
            <c:strRef>
              <c:f>INCO!$B$28</c:f>
              <c:strCache>
                <c:ptCount val="1"/>
                <c:pt idx="0">
                  <c:v>Linea D</c:v>
                </c:pt>
              </c:strCache>
            </c:strRef>
          </c:tx>
          <c:invertIfNegative val="0"/>
          <c:val>
            <c:numRef>
              <c:f>INCO!$D$29:$J$29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5"/>
          <c:order val="4"/>
          <c:tx>
            <c:strRef>
              <c:f>INCO!$B$34</c:f>
              <c:strCache>
                <c:ptCount val="1"/>
                <c:pt idx="0">
                  <c:v>Linea E</c:v>
                </c:pt>
              </c:strCache>
            </c:strRef>
          </c:tx>
          <c:invertIfNegative val="0"/>
          <c:val>
            <c:numRef>
              <c:f>INCO!$D$35:$J$35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55258624"/>
        <c:axId val="110985216"/>
      </c:barChart>
      <c:catAx>
        <c:axId val="25525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10985216"/>
        <c:crosses val="autoZero"/>
        <c:auto val="1"/>
        <c:lblAlgn val="ctr"/>
        <c:lblOffset val="100"/>
        <c:noMultiLvlLbl val="0"/>
      </c:catAx>
      <c:valAx>
        <c:axId val="11098521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9525">
            <a:solidFill>
              <a:schemeClr val="accent1"/>
            </a:solidFill>
          </a:ln>
        </c:spPr>
        <c:txPr>
          <a:bodyPr/>
          <a:lstStyle/>
          <a:p>
            <a:pPr>
              <a:defRPr sz="900"/>
            </a:pPr>
            <a:endParaRPr lang="es-ES"/>
          </a:p>
        </c:txPr>
        <c:crossAx val="2552586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_tradnl" sz="1200"/>
              <a:t>Evolución de costes variables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INCO!$C$83</c:f>
              <c:strCache>
                <c:ptCount val="1"/>
                <c:pt idx="0">
                  <c:v>Coste de Materias Primas</c:v>
                </c:pt>
              </c:strCache>
            </c:strRef>
          </c:tx>
          <c:invertIfNegative val="0"/>
          <c:val>
            <c:numRef>
              <c:f>INCO!$D$83:$J$83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INCO!$C$84</c:f>
              <c:strCache>
                <c:ptCount val="1"/>
                <c:pt idx="0">
                  <c:v>Otros Costes de Explotación</c:v>
                </c:pt>
              </c:strCache>
            </c:strRef>
          </c:tx>
          <c:invertIfNegative val="0"/>
          <c:val>
            <c:numRef>
              <c:f>INCO!$D$84:$J$84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INCO!$C$85</c:f>
              <c:strCache>
                <c:ptCount val="1"/>
                <c:pt idx="0">
                  <c:v>Costes de Comercialización</c:v>
                </c:pt>
              </c:strCache>
            </c:strRef>
          </c:tx>
          <c:invertIfNegative val="0"/>
          <c:val>
            <c:numRef>
              <c:f>INCO!$D$85:$J$85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55259648"/>
        <c:axId val="110987520"/>
      </c:barChart>
      <c:catAx>
        <c:axId val="25525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10987520"/>
        <c:crosses val="autoZero"/>
        <c:auto val="1"/>
        <c:lblAlgn val="ctr"/>
        <c:lblOffset val="100"/>
        <c:noMultiLvlLbl val="0"/>
      </c:catAx>
      <c:valAx>
        <c:axId val="11098752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9525">
            <a:solidFill>
              <a:schemeClr val="accent1"/>
            </a:solidFill>
          </a:ln>
        </c:spPr>
        <c:txPr>
          <a:bodyPr/>
          <a:lstStyle/>
          <a:p>
            <a:pPr>
              <a:defRPr sz="900"/>
            </a:pPr>
            <a:endParaRPr lang="es-ES"/>
          </a:p>
        </c:txPr>
        <c:crossAx val="25525964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_tradnl" sz="1200"/>
              <a:t>Evolución de costes fijos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INCO!$C$44</c:f>
              <c:strCache>
                <c:ptCount val="1"/>
                <c:pt idx="0">
                  <c:v>Personal</c:v>
                </c:pt>
              </c:strCache>
            </c:strRef>
          </c:tx>
          <c:invertIfNegative val="0"/>
          <c:val>
            <c:numRef>
              <c:f>INCO!$D$44:$J$44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INCO!$C$45</c:f>
              <c:strCache>
                <c:ptCount val="1"/>
                <c:pt idx="0">
                  <c:v>Suministros</c:v>
                </c:pt>
              </c:strCache>
            </c:strRef>
          </c:tx>
          <c:invertIfNegative val="0"/>
          <c:val>
            <c:numRef>
              <c:f>INCO!$D$45:$J$45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INCO!$C$46</c:f>
              <c:strCache>
                <c:ptCount val="1"/>
                <c:pt idx="0">
                  <c:v>Gastos Generales</c:v>
                </c:pt>
              </c:strCache>
            </c:strRef>
          </c:tx>
          <c:invertIfNegative val="0"/>
          <c:val>
            <c:numRef>
              <c:f>INCO!$D$46:$J$46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3"/>
          <c:order val="3"/>
          <c:tx>
            <c:strRef>
              <c:f>INCO!$C$47</c:f>
              <c:strCache>
                <c:ptCount val="1"/>
                <c:pt idx="0">
                  <c:v>Alquileres</c:v>
                </c:pt>
              </c:strCache>
            </c:strRef>
          </c:tx>
          <c:invertIfNegative val="0"/>
          <c:val>
            <c:numRef>
              <c:f>INCO!$D$47:$J$47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4"/>
          <c:order val="4"/>
          <c:tx>
            <c:strRef>
              <c:f>INCO!$C$48</c:f>
              <c:strCache>
                <c:ptCount val="1"/>
                <c:pt idx="0">
                  <c:v>Seguros y Tributos</c:v>
                </c:pt>
              </c:strCache>
            </c:strRef>
          </c:tx>
          <c:invertIfNegative val="0"/>
          <c:val>
            <c:numRef>
              <c:f>INCO!$D$48:$J$48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5"/>
          <c:order val="5"/>
          <c:tx>
            <c:strRef>
              <c:f>INCO!$C$49</c:f>
              <c:strCache>
                <c:ptCount val="1"/>
                <c:pt idx="0">
                  <c:v>Otros</c:v>
                </c:pt>
              </c:strCache>
            </c:strRef>
          </c:tx>
          <c:invertIfNegative val="0"/>
          <c:val>
            <c:numRef>
              <c:f>INCO!$D$49:$J$49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56888832"/>
        <c:axId val="110989824"/>
      </c:barChart>
      <c:catAx>
        <c:axId val="25688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10989824"/>
        <c:crosses val="autoZero"/>
        <c:auto val="1"/>
        <c:lblAlgn val="ctr"/>
        <c:lblOffset val="100"/>
        <c:noMultiLvlLbl val="0"/>
      </c:catAx>
      <c:valAx>
        <c:axId val="110989824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9525">
            <a:solidFill>
              <a:schemeClr val="accent1"/>
            </a:solidFill>
          </a:ln>
        </c:spPr>
        <c:txPr>
          <a:bodyPr/>
          <a:lstStyle/>
          <a:p>
            <a:pPr>
              <a:defRPr sz="900"/>
            </a:pPr>
            <a:endParaRPr lang="es-ES"/>
          </a:p>
        </c:txPr>
        <c:crossAx val="2568888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Fuentes de Financiación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BALANCE!$B$37</c:f>
              <c:strCache>
                <c:ptCount val="1"/>
                <c:pt idx="0">
                  <c:v>Capital</c:v>
                </c:pt>
              </c:strCache>
            </c:strRef>
          </c:tx>
          <c:invertIfNegative val="0"/>
          <c:cat>
            <c:strRef>
              <c:f>BALANCE!$C$36:$J$36</c:f>
              <c:strCache>
                <c:ptCount val="8"/>
                <c:pt idx="0">
                  <c:v>Inicio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strCache>
            </c:strRef>
          </c:cat>
          <c:val>
            <c:numRef>
              <c:f>BALANCE!$C$37:$J$37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BALANCE!$B$38</c:f>
              <c:strCache>
                <c:ptCount val="1"/>
                <c:pt idx="0">
                  <c:v>Subvenciones de Capital</c:v>
                </c:pt>
              </c:strCache>
            </c:strRef>
          </c:tx>
          <c:invertIfNegative val="0"/>
          <c:cat>
            <c:strRef>
              <c:f>BALANCE!$C$36:$J$36</c:f>
              <c:strCache>
                <c:ptCount val="8"/>
                <c:pt idx="0">
                  <c:v>Inicio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strCache>
            </c:strRef>
          </c:cat>
          <c:val>
            <c:numRef>
              <c:f>BALANCE!$C$38:$J$38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BALANCE!$B$39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BALANCE!$C$36:$J$36</c:f>
              <c:strCache>
                <c:ptCount val="8"/>
                <c:pt idx="0">
                  <c:v>Inicio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strCache>
            </c:strRef>
          </c:cat>
          <c:val>
            <c:numRef>
              <c:f>BALANCE!$C$39:$J$39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7523712"/>
        <c:axId val="110992704"/>
      </c:barChart>
      <c:catAx>
        <c:axId val="2575237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10992704"/>
        <c:crosses val="autoZero"/>
        <c:auto val="1"/>
        <c:lblAlgn val="ctr"/>
        <c:lblOffset val="100"/>
        <c:noMultiLvlLbl val="0"/>
      </c:catAx>
      <c:valAx>
        <c:axId val="110992704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2575237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Evolución de la estructura financiera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BALANCE!$B$22</c:f>
              <c:strCache>
                <c:ptCount val="1"/>
                <c:pt idx="0">
                  <c:v>Patrimonio Neto</c:v>
                </c:pt>
              </c:strCache>
            </c:strRef>
          </c:tx>
          <c:invertIfNegative val="0"/>
          <c:cat>
            <c:strRef>
              <c:f>BALANCE!$C$36:$J$36</c:f>
              <c:strCache>
                <c:ptCount val="8"/>
                <c:pt idx="0">
                  <c:v>Inicio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strCache>
            </c:strRef>
          </c:cat>
          <c:val>
            <c:numRef>
              <c:f>BALANCE!$C$22:$J$22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BALANCE!$B$23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BALANCE!$C$36:$J$36</c:f>
              <c:strCache>
                <c:ptCount val="8"/>
                <c:pt idx="0">
                  <c:v>Inicio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strCache>
            </c:strRef>
          </c:cat>
          <c:val>
            <c:numRef>
              <c:f>BALANCE!$C$23:$J$23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7526272"/>
        <c:axId val="111125632"/>
      </c:barChart>
      <c:catAx>
        <c:axId val="25752627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11125632"/>
        <c:crosses val="autoZero"/>
        <c:auto val="1"/>
        <c:lblAlgn val="ctr"/>
        <c:lblOffset val="100"/>
        <c:noMultiLvlLbl val="0"/>
      </c:catAx>
      <c:valAx>
        <c:axId val="111125632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2575262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57</xdr:row>
      <xdr:rowOff>142875</xdr:rowOff>
    </xdr:from>
    <xdr:to>
      <xdr:col>7</xdr:col>
      <xdr:colOff>22860</xdr:colOff>
      <xdr:row>79</xdr:row>
      <xdr:rowOff>144780</xdr:rowOff>
    </xdr:to>
    <xdr:graphicFrame macro="">
      <xdr:nvGraphicFramePr>
        <xdr:cNvPr id="823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148590</xdr:colOff>
      <xdr:row>57</xdr:row>
      <xdr:rowOff>160020</xdr:rowOff>
    </xdr:from>
    <xdr:to>
      <xdr:col>15</xdr:col>
      <xdr:colOff>457200</xdr:colOff>
      <xdr:row>79</xdr:row>
      <xdr:rowOff>160020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300990</xdr:colOff>
      <xdr:row>97</xdr:row>
      <xdr:rowOff>55245</xdr:rowOff>
    </xdr:from>
    <xdr:to>
      <xdr:col>5</xdr:col>
      <xdr:colOff>411480</xdr:colOff>
      <xdr:row>116</xdr:row>
      <xdr:rowOff>83820</xdr:rowOff>
    </xdr:to>
    <xdr:graphicFrame macro="">
      <xdr:nvGraphicFramePr>
        <xdr:cNvPr id="644242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266700</xdr:colOff>
      <xdr:row>118</xdr:row>
      <xdr:rowOff>28575</xdr:rowOff>
    </xdr:from>
    <xdr:to>
      <xdr:col>5</xdr:col>
      <xdr:colOff>375285</xdr:colOff>
      <xdr:row>137</xdr:row>
      <xdr:rowOff>40005</xdr:rowOff>
    </xdr:to>
    <xdr:graphicFrame macro="">
      <xdr:nvGraphicFramePr>
        <xdr:cNvPr id="64424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110491</xdr:colOff>
      <xdr:row>97</xdr:row>
      <xdr:rowOff>41910</xdr:rowOff>
    </xdr:from>
    <xdr:to>
      <xdr:col>13</xdr:col>
      <xdr:colOff>144781</xdr:colOff>
      <xdr:row>116</xdr:row>
      <xdr:rowOff>114300</xdr:rowOff>
    </xdr:to>
    <xdr:graphicFrame macro="">
      <xdr:nvGraphicFramePr>
        <xdr:cNvPr id="64424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360045</xdr:colOff>
      <xdr:row>138</xdr:row>
      <xdr:rowOff>76200</xdr:rowOff>
    </xdr:from>
    <xdr:to>
      <xdr:col>5</xdr:col>
      <xdr:colOff>110490</xdr:colOff>
      <xdr:row>157</xdr:row>
      <xdr:rowOff>104775</xdr:rowOff>
    </xdr:to>
    <xdr:graphicFrame macro="">
      <xdr:nvGraphicFramePr>
        <xdr:cNvPr id="64424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139065</xdr:colOff>
      <xdr:row>118</xdr:row>
      <xdr:rowOff>26670</xdr:rowOff>
    </xdr:from>
    <xdr:to>
      <xdr:col>13</xdr:col>
      <xdr:colOff>167640</xdr:colOff>
      <xdr:row>137</xdr:row>
      <xdr:rowOff>55245</xdr:rowOff>
    </xdr:to>
    <xdr:graphicFrame macro="">
      <xdr:nvGraphicFramePr>
        <xdr:cNvPr id="64424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</xdr:colOff>
      <xdr:row>39</xdr:row>
      <xdr:rowOff>102870</xdr:rowOff>
    </xdr:from>
    <xdr:to>
      <xdr:col>4</xdr:col>
      <xdr:colOff>457200</xdr:colOff>
      <xdr:row>57</xdr:row>
      <xdr:rowOff>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622300</xdr:colOff>
      <xdr:row>39</xdr:row>
      <xdr:rowOff>64770</xdr:rowOff>
    </xdr:from>
    <xdr:to>
      <xdr:col>9</xdr:col>
      <xdr:colOff>640080</xdr:colOff>
      <xdr:row>57</xdr:row>
      <xdr:rowOff>22860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33</xdr:row>
      <xdr:rowOff>11430</xdr:rowOff>
    </xdr:from>
    <xdr:to>
      <xdr:col>11</xdr:col>
      <xdr:colOff>28575</xdr:colOff>
      <xdr:row>52</xdr:row>
      <xdr:rowOff>34290</xdr:rowOff>
    </xdr:to>
    <xdr:graphicFrame macro="">
      <xdr:nvGraphicFramePr>
        <xdr:cNvPr id="7255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1276350</xdr:colOff>
      <xdr:row>21</xdr:row>
      <xdr:rowOff>66675</xdr:rowOff>
    </xdr:from>
    <xdr:to>
      <xdr:col>5</xdr:col>
      <xdr:colOff>685800</xdr:colOff>
      <xdr:row>36</xdr:row>
      <xdr:rowOff>123825</xdr:rowOff>
    </xdr:to>
    <xdr:graphicFrame macro="">
      <xdr:nvGraphicFramePr>
        <xdr:cNvPr id="19506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251460</xdr:colOff>
      <xdr:row>2</xdr:row>
      <xdr:rowOff>78105</xdr:rowOff>
    </xdr:from>
    <xdr:to>
      <xdr:col>12</xdr:col>
      <xdr:colOff>114300</xdr:colOff>
      <xdr:row>20</xdr:row>
      <xdr:rowOff>57150</xdr:rowOff>
    </xdr:to>
    <xdr:graphicFrame macro="">
      <xdr:nvGraphicFramePr>
        <xdr:cNvPr id="1950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205740</xdr:colOff>
          <xdr:row>19</xdr:row>
          <xdr:rowOff>30480</xdr:rowOff>
        </xdr:from>
        <xdr:to>
          <xdr:col>4</xdr:col>
          <xdr:colOff>701040</xdr:colOff>
          <xdr:row>20</xdr:row>
          <xdr:rowOff>91440</xdr:rowOff>
        </xdr:to>
        <xdr:sp macro="" textlink="">
          <xdr:nvSpPr>
            <xdr:cNvPr id="19477" name="Button 21" hidden="1">
              <a:extLst>
                <a:ext uri="{63B3BB69-23CF-44E3-9099-C40C66FF867C}">
                  <a14:compatExt spid="_x0000_s194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Pulsar F9 para actualizar Tabla</a:t>
              </a:r>
              <a:endParaRPr lang="es-ES"/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249554</xdr:colOff>
      <xdr:row>43</xdr:row>
      <xdr:rowOff>126682</xdr:rowOff>
    </xdr:from>
    <xdr:to>
      <xdr:col>12</xdr:col>
      <xdr:colOff>68580</xdr:colOff>
      <xdr:row>64</xdr:row>
      <xdr:rowOff>15240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213360</xdr:colOff>
      <xdr:row>21</xdr:row>
      <xdr:rowOff>0</xdr:rowOff>
    </xdr:from>
    <xdr:to>
      <xdr:col>12</xdr:col>
      <xdr:colOff>22860</xdr:colOff>
      <xdr:row>42</xdr:row>
      <xdr:rowOff>15240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114301</xdr:colOff>
      <xdr:row>19</xdr:row>
      <xdr:rowOff>38100</xdr:rowOff>
    </xdr:from>
    <xdr:to>
      <xdr:col>8</xdr:col>
      <xdr:colOff>495301</xdr:colOff>
      <xdr:row>36</xdr:row>
      <xdr:rowOff>68580</xdr:rowOff>
    </xdr:to>
    <xdr:graphicFrame macro="">
      <xdr:nvGraphicFramePr>
        <xdr:cNvPr id="623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114300</xdr:colOff>
      <xdr:row>6</xdr:row>
      <xdr:rowOff>123825</xdr:rowOff>
    </xdr:from>
    <xdr:to>
      <xdr:col>15</xdr:col>
      <xdr:colOff>501015</xdr:colOff>
      <xdr:row>26</xdr:row>
      <xdr:rowOff>26670</xdr:rowOff>
    </xdr:to>
    <xdr:graphicFrame macro="">
      <xdr:nvGraphicFramePr>
        <xdr:cNvPr id="6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2148840</xdr:colOff>
          <xdr:row>12</xdr:row>
          <xdr:rowOff>114300</xdr:rowOff>
        </xdr:from>
        <xdr:to>
          <xdr:col>4</xdr:col>
          <xdr:colOff>449580</xdr:colOff>
          <xdr:row>14</xdr:row>
          <xdr:rowOff>22860</xdr:rowOff>
        </xdr:to>
        <xdr:sp macro="" textlink="">
          <xdr:nvSpPr>
            <xdr:cNvPr id="6163" name="Button 19" hidden="1">
              <a:extLst>
                <a:ext uri="{63B3BB69-23CF-44E3-9099-C40C66FF867C}">
                  <a14:compatExt spid="_x0000_s61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Pulsar F9 para actualizar Tabla</a:t>
              </a:r>
              <a:endParaRPr lang="es-ES"/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comments" Target="../comments3.xm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comments" Target="../comments4.xml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comments" Target="../comments5.xml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0.bin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7" Type="http://schemas.openxmlformats.org/officeDocument/2006/relationships/comments" Target="../comments6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2.xml"/><Relationship Id="rId5" Type="http://schemas.openxmlformats.org/officeDocument/2006/relationships/vmlDrawing" Target="../drawings/vmlDrawing7.vml"/><Relationship Id="rId4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pageSetUpPr autoPageBreaks="0"/>
  </sheetPr>
  <dimension ref="A1:L106"/>
  <sheetViews>
    <sheetView showGridLines="0" tabSelected="1" workbookViewId="0">
      <pane ySplit="5" topLeftCell="A6" activePane="bottomLeft" state="frozen"/>
      <selection pane="bottomLeft" activeCell="B46" sqref="B45:B46"/>
    </sheetView>
  </sheetViews>
  <sheetFormatPr baseColWidth="10" defaultColWidth="13.88671875" defaultRowHeight="10.199999999999999" outlineLevelRow="1" x14ac:dyDescent="0.2"/>
  <cols>
    <col min="1" max="1" width="8.109375" style="13" customWidth="1"/>
    <col min="2" max="2" width="24" style="2" customWidth="1"/>
    <col min="3" max="3" width="13.88671875" style="2"/>
    <col min="4" max="4" width="9.5546875" style="2" customWidth="1"/>
    <col min="5" max="5" width="13.77734375" style="2" customWidth="1"/>
    <col min="6" max="6" width="11.109375" style="2" customWidth="1"/>
    <col min="7" max="9" width="9.5546875" style="2" customWidth="1"/>
    <col min="10" max="16384" width="13.88671875" style="2"/>
  </cols>
  <sheetData>
    <row r="1" spans="2:6" ht="6.6" customHeight="1" thickBot="1" x14ac:dyDescent="0.25"/>
    <row r="2" spans="2:6" ht="10.8" thickBot="1" x14ac:dyDescent="0.25">
      <c r="B2" s="241" t="s">
        <v>67</v>
      </c>
      <c r="C2" s="242" t="s">
        <v>65</v>
      </c>
      <c r="E2" s="52" t="s">
        <v>222</v>
      </c>
      <c r="F2" s="42"/>
    </row>
    <row r="3" spans="2:6" ht="10.8" thickBot="1" x14ac:dyDescent="0.25">
      <c r="B3" s="44" t="s">
        <v>68</v>
      </c>
      <c r="C3" s="221" t="e">
        <f>RENTABILIDAD!C17</f>
        <v>#DIV/0!</v>
      </c>
      <c r="E3" s="78" t="s">
        <v>223</v>
      </c>
      <c r="F3" s="38"/>
    </row>
    <row r="4" spans="2:6" ht="10.8" thickBot="1" x14ac:dyDescent="0.25">
      <c r="B4" s="36" t="s">
        <v>52</v>
      </c>
      <c r="C4" s="353" t="e">
        <f>RENTABILIDAD!G17</f>
        <v>#VALUE!</v>
      </c>
      <c r="E4" s="224" t="s">
        <v>50</v>
      </c>
      <c r="F4" s="225" t="str">
        <f>TESORERIA!B33</f>
        <v>OK</v>
      </c>
    </row>
    <row r="5" spans="2:6" ht="10.8" thickBot="1" x14ac:dyDescent="0.25">
      <c r="B5" s="39" t="s">
        <v>221</v>
      </c>
      <c r="C5" s="354" t="e">
        <f>RENTABILIDAD!C30</f>
        <v>#VALUE!</v>
      </c>
    </row>
    <row r="7" spans="2:6" ht="10.8" thickBot="1" x14ac:dyDescent="0.25">
      <c r="B7" s="213" t="s">
        <v>108</v>
      </c>
    </row>
    <row r="8" spans="2:6" outlineLevel="1" x14ac:dyDescent="0.2">
      <c r="B8" s="44" t="s">
        <v>2</v>
      </c>
      <c r="C8" s="239"/>
    </row>
    <row r="9" spans="2:6" outlineLevel="1" x14ac:dyDescent="0.2">
      <c r="B9" s="36" t="s">
        <v>69</v>
      </c>
      <c r="C9" s="216"/>
    </row>
    <row r="10" spans="2:6" outlineLevel="1" x14ac:dyDescent="0.2">
      <c r="B10" s="36" t="s">
        <v>70</v>
      </c>
      <c r="C10" s="216"/>
    </row>
    <row r="11" spans="2:6" outlineLevel="1" x14ac:dyDescent="0.2">
      <c r="B11" s="36" t="s">
        <v>71</v>
      </c>
      <c r="C11" s="216"/>
    </row>
    <row r="12" spans="2:6" ht="10.8" outlineLevel="1" thickBot="1" x14ac:dyDescent="0.25">
      <c r="B12" s="39" t="s">
        <v>211</v>
      </c>
      <c r="C12" s="219"/>
    </row>
    <row r="13" spans="2:6" x14ac:dyDescent="0.2">
      <c r="B13" s="10"/>
    </row>
    <row r="14" spans="2:6" ht="10.8" thickBot="1" x14ac:dyDescent="0.25">
      <c r="B14" s="213" t="s">
        <v>109</v>
      </c>
      <c r="D14" s="34"/>
      <c r="E14" s="34"/>
    </row>
    <row r="15" spans="2:6" outlineLevel="1" x14ac:dyDescent="0.2">
      <c r="B15" s="166" t="s">
        <v>107</v>
      </c>
      <c r="C15" s="201" t="s">
        <v>1</v>
      </c>
      <c r="D15" s="201" t="s">
        <v>0</v>
      </c>
      <c r="E15" s="53" t="s">
        <v>47</v>
      </c>
      <c r="F15" s="200" t="s">
        <v>15</v>
      </c>
    </row>
    <row r="16" spans="2:6" outlineLevel="1" x14ac:dyDescent="0.2">
      <c r="B16" s="55" t="s">
        <v>231</v>
      </c>
      <c r="C16" s="112"/>
      <c r="D16" s="118"/>
      <c r="E16" s="355"/>
      <c r="F16" s="356"/>
    </row>
    <row r="17" spans="2:6" outlineLevel="1" x14ac:dyDescent="0.2">
      <c r="B17" s="55" t="s">
        <v>232</v>
      </c>
      <c r="C17" s="112"/>
      <c r="D17" s="118"/>
      <c r="E17" s="355"/>
      <c r="F17" s="356"/>
    </row>
    <row r="18" spans="2:6" outlineLevel="1" x14ac:dyDescent="0.2">
      <c r="B18" s="55" t="s">
        <v>233</v>
      </c>
      <c r="C18" s="112"/>
      <c r="D18" s="118"/>
      <c r="E18" s="355"/>
      <c r="F18" s="356"/>
    </row>
    <row r="19" spans="2:6" outlineLevel="1" x14ac:dyDescent="0.2">
      <c r="B19" s="55" t="s">
        <v>234</v>
      </c>
      <c r="C19" s="112"/>
      <c r="D19" s="118"/>
      <c r="E19" s="355"/>
      <c r="F19" s="356"/>
    </row>
    <row r="20" spans="2:6" outlineLevel="1" x14ac:dyDescent="0.2">
      <c r="B20" s="55" t="s">
        <v>235</v>
      </c>
      <c r="C20" s="112"/>
      <c r="D20" s="118"/>
      <c r="E20" s="355"/>
      <c r="F20" s="356"/>
    </row>
    <row r="21" spans="2:6" outlineLevel="1" x14ac:dyDescent="0.2">
      <c r="B21" s="55" t="s">
        <v>236</v>
      </c>
      <c r="C21" s="112"/>
      <c r="D21" s="118"/>
      <c r="E21" s="355"/>
      <c r="F21" s="356"/>
    </row>
    <row r="22" spans="2:6" outlineLevel="1" x14ac:dyDescent="0.2">
      <c r="B22" s="55" t="s">
        <v>237</v>
      </c>
      <c r="C22" s="112"/>
      <c r="D22" s="118"/>
      <c r="E22" s="355"/>
      <c r="F22" s="356"/>
    </row>
    <row r="23" spans="2:6" outlineLevel="1" x14ac:dyDescent="0.2">
      <c r="B23" s="55" t="s">
        <v>238</v>
      </c>
      <c r="C23" s="112"/>
      <c r="D23" s="118"/>
      <c r="E23" s="355"/>
      <c r="F23" s="356"/>
    </row>
    <row r="24" spans="2:6" outlineLevel="1" x14ac:dyDescent="0.2">
      <c r="B24" s="55" t="s">
        <v>239</v>
      </c>
      <c r="C24" s="112"/>
      <c r="D24" s="118"/>
      <c r="E24" s="355"/>
      <c r="F24" s="356"/>
    </row>
    <row r="25" spans="2:6" outlineLevel="1" x14ac:dyDescent="0.2">
      <c r="B25" s="55" t="s">
        <v>240</v>
      </c>
      <c r="C25" s="112"/>
      <c r="D25" s="118"/>
      <c r="E25" s="355"/>
      <c r="F25" s="356"/>
    </row>
    <row r="26" spans="2:6" outlineLevel="1" x14ac:dyDescent="0.2">
      <c r="B26" s="55" t="s">
        <v>241</v>
      </c>
      <c r="C26" s="112"/>
      <c r="D26" s="118"/>
      <c r="E26" s="355"/>
      <c r="F26" s="356"/>
    </row>
    <row r="27" spans="2:6" outlineLevel="1" x14ac:dyDescent="0.2">
      <c r="B27" s="55" t="s">
        <v>242</v>
      </c>
      <c r="C27" s="112"/>
      <c r="D27" s="118"/>
      <c r="E27" s="355"/>
      <c r="F27" s="356"/>
    </row>
    <row r="28" spans="2:6" outlineLevel="1" x14ac:dyDescent="0.2">
      <c r="B28" s="55" t="s">
        <v>243</v>
      </c>
      <c r="C28" s="112"/>
      <c r="D28" s="118"/>
      <c r="E28" s="355"/>
      <c r="F28" s="356"/>
    </row>
    <row r="29" spans="2:6" outlineLevel="1" x14ac:dyDescent="0.2">
      <c r="B29" s="55" t="s">
        <v>244</v>
      </c>
      <c r="C29" s="112"/>
      <c r="D29" s="118"/>
      <c r="E29" s="355"/>
      <c r="F29" s="356"/>
    </row>
    <row r="30" spans="2:6" outlineLevel="1" x14ac:dyDescent="0.2">
      <c r="B30" s="55" t="s">
        <v>245</v>
      </c>
      <c r="C30" s="112"/>
      <c r="D30" s="118"/>
      <c r="E30" s="355"/>
      <c r="F30" s="356"/>
    </row>
    <row r="31" spans="2:6" outlineLevel="1" x14ac:dyDescent="0.2">
      <c r="B31" s="55" t="s">
        <v>246</v>
      </c>
      <c r="C31" s="112"/>
      <c r="D31" s="118"/>
      <c r="E31" s="355"/>
      <c r="F31" s="356"/>
    </row>
    <row r="32" spans="2:6" outlineLevel="1" x14ac:dyDescent="0.2">
      <c r="B32" s="55" t="s">
        <v>247</v>
      </c>
      <c r="C32" s="112"/>
      <c r="D32" s="118"/>
      <c r="E32" s="355"/>
      <c r="F32" s="356"/>
    </row>
    <row r="33" spans="2:6" outlineLevel="1" x14ac:dyDescent="0.2">
      <c r="B33" s="55" t="s">
        <v>248</v>
      </c>
      <c r="C33" s="112"/>
      <c r="D33" s="118"/>
      <c r="E33" s="355"/>
      <c r="F33" s="356"/>
    </row>
    <row r="34" spans="2:6" outlineLevel="1" x14ac:dyDescent="0.2">
      <c r="B34" s="55" t="s">
        <v>249</v>
      </c>
      <c r="C34" s="112"/>
      <c r="D34" s="118"/>
      <c r="E34" s="355"/>
      <c r="F34" s="356"/>
    </row>
    <row r="35" spans="2:6" outlineLevel="1" x14ac:dyDescent="0.2">
      <c r="B35" s="55" t="s">
        <v>250</v>
      </c>
      <c r="C35" s="112"/>
      <c r="D35" s="118"/>
      <c r="E35" s="355"/>
      <c r="F35" s="356"/>
    </row>
    <row r="36" spans="2:6" outlineLevel="1" x14ac:dyDescent="0.2">
      <c r="B36" s="54" t="s">
        <v>31</v>
      </c>
      <c r="C36" s="33"/>
      <c r="D36" s="124"/>
      <c r="E36" s="357"/>
      <c r="F36" s="358"/>
    </row>
    <row r="37" spans="2:6" outlineLevel="1" x14ac:dyDescent="0.2">
      <c r="B37" s="55" t="s">
        <v>36</v>
      </c>
      <c r="C37" s="112"/>
      <c r="D37" s="118"/>
      <c r="E37" s="355"/>
      <c r="F37" s="356"/>
    </row>
    <row r="38" spans="2:6" outlineLevel="1" x14ac:dyDescent="0.2">
      <c r="B38" s="55" t="s">
        <v>37</v>
      </c>
      <c r="C38" s="112"/>
      <c r="D38" s="118"/>
      <c r="E38" s="355"/>
      <c r="F38" s="356"/>
    </row>
    <row r="39" spans="2:6" outlineLevel="1" x14ac:dyDescent="0.2">
      <c r="B39" s="55" t="s">
        <v>38</v>
      </c>
      <c r="C39" s="112"/>
      <c r="D39" s="118"/>
      <c r="E39" s="355"/>
      <c r="F39" s="356"/>
    </row>
    <row r="40" spans="2:6" outlineLevel="1" x14ac:dyDescent="0.2">
      <c r="B40" s="55" t="s">
        <v>39</v>
      </c>
      <c r="C40" s="112"/>
      <c r="D40" s="118"/>
      <c r="E40" s="355"/>
      <c r="F40" s="356"/>
    </row>
    <row r="41" spans="2:6" outlineLevel="1" x14ac:dyDescent="0.2">
      <c r="B41" s="55" t="s">
        <v>40</v>
      </c>
      <c r="C41" s="112"/>
      <c r="D41" s="118"/>
      <c r="E41" s="355"/>
      <c r="F41" s="356"/>
    </row>
    <row r="42" spans="2:6" outlineLevel="1" x14ac:dyDescent="0.2">
      <c r="B42" s="55" t="s">
        <v>41</v>
      </c>
      <c r="C42" s="112"/>
      <c r="D42" s="118"/>
      <c r="E42" s="355"/>
      <c r="F42" s="356"/>
    </row>
    <row r="43" spans="2:6" outlineLevel="1" x14ac:dyDescent="0.2">
      <c r="B43" s="55" t="s">
        <v>42</v>
      </c>
      <c r="C43" s="112"/>
      <c r="D43" s="118"/>
      <c r="E43" s="355"/>
      <c r="F43" s="356"/>
    </row>
    <row r="44" spans="2:6" outlineLevel="1" x14ac:dyDescent="0.2">
      <c r="B44" s="55" t="s">
        <v>43</v>
      </c>
      <c r="C44" s="112"/>
      <c r="D44" s="118"/>
      <c r="E44" s="355"/>
      <c r="F44" s="356"/>
    </row>
    <row r="45" spans="2:6" outlineLevel="1" x14ac:dyDescent="0.2">
      <c r="B45" s="55" t="s">
        <v>44</v>
      </c>
      <c r="C45" s="112"/>
      <c r="D45" s="118"/>
      <c r="E45" s="355"/>
      <c r="F45" s="356"/>
    </row>
    <row r="46" spans="2:6" ht="10.8" outlineLevel="1" thickBot="1" x14ac:dyDescent="0.25">
      <c r="B46" s="57" t="s">
        <v>45</v>
      </c>
      <c r="C46" s="167"/>
      <c r="D46" s="168"/>
      <c r="E46" s="359"/>
      <c r="F46" s="360"/>
    </row>
    <row r="47" spans="2:6" x14ac:dyDescent="0.2">
      <c r="D47" s="34"/>
      <c r="E47" s="34"/>
    </row>
    <row r="48" spans="2:6" ht="10.8" thickBot="1" x14ac:dyDescent="0.25">
      <c r="B48" s="213" t="s">
        <v>110</v>
      </c>
      <c r="D48" s="34"/>
      <c r="E48" s="34"/>
    </row>
    <row r="49" spans="2:10" outlineLevel="1" x14ac:dyDescent="0.2">
      <c r="B49" s="44" t="s">
        <v>72</v>
      </c>
      <c r="C49" s="239"/>
      <c r="D49" s="34"/>
      <c r="E49" s="34"/>
      <c r="F49" s="34"/>
      <c r="G49" s="34"/>
      <c r="H49" s="34"/>
      <c r="I49" s="34"/>
    </row>
    <row r="50" spans="2:10" outlineLevel="1" x14ac:dyDescent="0.2">
      <c r="B50" s="36" t="s">
        <v>73</v>
      </c>
      <c r="C50" s="240"/>
      <c r="E50" s="34"/>
      <c r="H50" s="34"/>
      <c r="I50" s="34"/>
    </row>
    <row r="51" spans="2:10" outlineLevel="1" x14ac:dyDescent="0.2">
      <c r="B51" s="36" t="s">
        <v>74</v>
      </c>
      <c r="C51" s="216"/>
      <c r="E51" s="34"/>
      <c r="H51" s="34"/>
      <c r="I51" s="34"/>
    </row>
    <row r="52" spans="2:10" ht="10.8" outlineLevel="1" thickBot="1" x14ac:dyDescent="0.25">
      <c r="B52" s="39" t="s">
        <v>75</v>
      </c>
      <c r="C52" s="219"/>
      <c r="E52" s="88"/>
      <c r="H52" s="88"/>
      <c r="I52" s="88"/>
    </row>
    <row r="53" spans="2:10" ht="10.8" outlineLevel="1" thickBot="1" x14ac:dyDescent="0.25">
      <c r="B53" s="226"/>
      <c r="C53" s="220"/>
      <c r="D53" s="220"/>
      <c r="E53" s="220"/>
      <c r="F53" s="220"/>
      <c r="G53" s="220"/>
      <c r="H53" s="220"/>
      <c r="I53" s="220"/>
    </row>
    <row r="54" spans="2:10" outlineLevel="1" x14ac:dyDescent="0.2">
      <c r="B54" s="243"/>
      <c r="C54" s="229">
        <v>1</v>
      </c>
      <c r="D54" s="229">
        <f t="shared" ref="D54:I54" si="0">C54+1</f>
        <v>2</v>
      </c>
      <c r="E54" s="229">
        <f t="shared" si="0"/>
        <v>3</v>
      </c>
      <c r="F54" s="229">
        <f t="shared" si="0"/>
        <v>4</v>
      </c>
      <c r="G54" s="229">
        <f t="shared" si="0"/>
        <v>5</v>
      </c>
      <c r="H54" s="229">
        <f t="shared" si="0"/>
        <v>6</v>
      </c>
      <c r="I54" s="230">
        <f t="shared" si="0"/>
        <v>7</v>
      </c>
    </row>
    <row r="55" spans="2:10" outlineLevel="1" x14ac:dyDescent="0.2">
      <c r="B55" s="244" t="s">
        <v>76</v>
      </c>
      <c r="C55" s="112"/>
      <c r="D55" s="159"/>
      <c r="E55" s="159"/>
      <c r="F55" s="159"/>
      <c r="G55" s="159"/>
      <c r="H55" s="159"/>
      <c r="I55" s="245"/>
    </row>
    <row r="56" spans="2:10" ht="10.8" outlineLevel="1" thickBot="1" x14ac:dyDescent="0.25">
      <c r="B56" s="246" t="s">
        <v>77</v>
      </c>
      <c r="C56" s="167"/>
      <c r="D56" s="167"/>
      <c r="E56" s="167"/>
      <c r="F56" s="167"/>
      <c r="G56" s="167"/>
      <c r="H56" s="167"/>
      <c r="I56" s="231"/>
    </row>
    <row r="57" spans="2:10" x14ac:dyDescent="0.2">
      <c r="B57" s="160"/>
      <c r="C57" s="160"/>
      <c r="D57" s="160"/>
      <c r="E57" s="160"/>
      <c r="F57" s="160"/>
      <c r="G57" s="160"/>
      <c r="H57" s="160"/>
      <c r="I57" s="160"/>
      <c r="J57" s="160"/>
    </row>
    <row r="58" spans="2:10" x14ac:dyDescent="0.2">
      <c r="B58" s="213" t="s">
        <v>111</v>
      </c>
      <c r="G58" s="160"/>
    </row>
    <row r="59" spans="2:10" ht="10.8" outlineLevel="1" thickBot="1" x14ac:dyDescent="0.25">
      <c r="C59" s="98" t="s">
        <v>23</v>
      </c>
      <c r="D59" s="98" t="s">
        <v>24</v>
      </c>
      <c r="E59" s="98" t="s">
        <v>25</v>
      </c>
      <c r="F59" s="98" t="s">
        <v>26</v>
      </c>
      <c r="G59" s="98" t="s">
        <v>27</v>
      </c>
    </row>
    <row r="60" spans="2:10" outlineLevel="1" x14ac:dyDescent="0.2">
      <c r="B60" s="227" t="s">
        <v>78</v>
      </c>
      <c r="C60" s="158"/>
      <c r="D60" s="147"/>
      <c r="E60" s="147"/>
      <c r="F60" s="151"/>
      <c r="G60" s="215"/>
    </row>
    <row r="61" spans="2:10" outlineLevel="1" x14ac:dyDescent="0.2">
      <c r="B61" s="36" t="s">
        <v>79</v>
      </c>
      <c r="C61" s="288"/>
      <c r="D61" s="289"/>
      <c r="E61" s="289"/>
      <c r="F61" s="290"/>
      <c r="G61" s="391"/>
    </row>
    <row r="62" spans="2:10" outlineLevel="1" x14ac:dyDescent="0.2">
      <c r="B62" s="36" t="s">
        <v>80</v>
      </c>
      <c r="C62" s="112"/>
      <c r="D62" s="149"/>
      <c r="E62" s="149"/>
      <c r="F62" s="148"/>
      <c r="G62" s="391"/>
    </row>
    <row r="63" spans="2:10" outlineLevel="1" x14ac:dyDescent="0.2">
      <c r="B63" s="36" t="s">
        <v>81</v>
      </c>
      <c r="C63" s="98"/>
      <c r="D63" s="150"/>
      <c r="E63" s="150"/>
      <c r="F63" s="126"/>
      <c r="G63" s="216"/>
    </row>
    <row r="64" spans="2:10" outlineLevel="1" x14ac:dyDescent="0.2">
      <c r="B64" s="36" t="s">
        <v>82</v>
      </c>
      <c r="C64" s="98"/>
      <c r="D64" s="150"/>
      <c r="E64" s="150"/>
      <c r="F64" s="126"/>
      <c r="G64" s="216"/>
    </row>
    <row r="65" spans="2:12" outlineLevel="1" x14ac:dyDescent="0.2">
      <c r="B65" s="36" t="s">
        <v>83</v>
      </c>
      <c r="C65" s="98"/>
      <c r="D65" s="150"/>
      <c r="E65" s="150"/>
      <c r="F65" s="126"/>
      <c r="G65" s="216"/>
      <c r="J65" s="13"/>
    </row>
    <row r="66" spans="2:12" outlineLevel="1" x14ac:dyDescent="0.2">
      <c r="B66" s="36" t="s">
        <v>84</v>
      </c>
      <c r="C66" s="98"/>
      <c r="D66" s="150"/>
      <c r="E66" s="150"/>
      <c r="F66" s="126"/>
      <c r="G66" s="216"/>
    </row>
    <row r="67" spans="2:12" outlineLevel="1" x14ac:dyDescent="0.2">
      <c r="B67" s="36" t="s">
        <v>85</v>
      </c>
      <c r="C67" s="98"/>
      <c r="D67" s="150"/>
      <c r="E67" s="150"/>
      <c r="F67" s="126"/>
      <c r="G67" s="216"/>
      <c r="J67" s="13"/>
      <c r="K67" s="138"/>
      <c r="L67" s="138"/>
    </row>
    <row r="68" spans="2:12" outlineLevel="1" x14ac:dyDescent="0.2">
      <c r="B68" s="36" t="s">
        <v>86</v>
      </c>
      <c r="C68" s="98"/>
      <c r="D68" s="150"/>
      <c r="E68" s="150"/>
      <c r="F68" s="126"/>
      <c r="G68" s="216"/>
    </row>
    <row r="69" spans="2:12" outlineLevel="1" x14ac:dyDescent="0.2">
      <c r="B69" s="228" t="s">
        <v>87</v>
      </c>
      <c r="C69" s="163"/>
      <c r="D69" s="164"/>
      <c r="E69" s="163"/>
      <c r="F69" s="164"/>
      <c r="G69" s="217"/>
      <c r="J69" s="13"/>
    </row>
    <row r="70" spans="2:12" outlineLevel="1" x14ac:dyDescent="0.2">
      <c r="B70" s="36" t="s">
        <v>88</v>
      </c>
      <c r="C70" s="98"/>
      <c r="D70" s="126"/>
      <c r="E70" s="98"/>
      <c r="F70" s="126"/>
      <c r="G70" s="216"/>
    </row>
    <row r="71" spans="2:12" s="13" customFormat="1" ht="10.8" outlineLevel="1" thickBot="1" x14ac:dyDescent="0.25">
      <c r="B71" s="36" t="s">
        <v>89</v>
      </c>
      <c r="C71" s="98"/>
      <c r="D71" s="126"/>
      <c r="E71" s="98"/>
      <c r="F71" s="126"/>
      <c r="G71" s="216"/>
    </row>
    <row r="72" spans="2:12" s="13" customFormat="1" outlineLevel="1" x14ac:dyDescent="0.2">
      <c r="B72" s="60"/>
      <c r="C72" s="229">
        <v>1</v>
      </c>
      <c r="D72" s="229">
        <f t="shared" ref="D72:I72" si="1">C72+1</f>
        <v>2</v>
      </c>
      <c r="E72" s="229">
        <f t="shared" si="1"/>
        <v>3</v>
      </c>
      <c r="F72" s="229">
        <f t="shared" si="1"/>
        <v>4</v>
      </c>
      <c r="G72" s="229">
        <f t="shared" si="1"/>
        <v>5</v>
      </c>
      <c r="H72" s="229">
        <f t="shared" si="1"/>
        <v>6</v>
      </c>
      <c r="I72" s="230">
        <f t="shared" si="1"/>
        <v>7</v>
      </c>
    </row>
    <row r="73" spans="2:12" s="13" customFormat="1" ht="10.8" outlineLevel="1" thickBot="1" x14ac:dyDescent="0.25">
      <c r="B73" s="246" t="s">
        <v>90</v>
      </c>
      <c r="C73" s="167"/>
      <c r="D73" s="167"/>
      <c r="E73" s="167"/>
      <c r="F73" s="167"/>
      <c r="G73" s="167"/>
      <c r="H73" s="167"/>
      <c r="I73" s="231"/>
    </row>
    <row r="75" spans="2:12" ht="10.8" thickBot="1" x14ac:dyDescent="0.25">
      <c r="B75" s="213" t="s">
        <v>112</v>
      </c>
    </row>
    <row r="76" spans="2:12" outlineLevel="1" x14ac:dyDescent="0.2">
      <c r="B76" s="60"/>
      <c r="C76" s="236" t="s">
        <v>46</v>
      </c>
      <c r="D76" s="235"/>
      <c r="E76" s="236"/>
      <c r="F76" s="236" t="s">
        <v>115</v>
      </c>
      <c r="G76" s="156"/>
      <c r="H76" s="156"/>
      <c r="I76" s="237"/>
    </row>
    <row r="77" spans="2:12" ht="10.8" outlineLevel="1" thickBot="1" x14ac:dyDescent="0.25">
      <c r="B77" s="45"/>
      <c r="C77" s="212">
        <v>1</v>
      </c>
      <c r="D77" s="291">
        <f t="shared" ref="D77:I77" si="2">C77+1</f>
        <v>2</v>
      </c>
      <c r="E77" s="292">
        <f t="shared" si="2"/>
        <v>3</v>
      </c>
      <c r="F77" s="292">
        <f t="shared" si="2"/>
        <v>4</v>
      </c>
      <c r="G77" s="292">
        <f t="shared" si="2"/>
        <v>5</v>
      </c>
      <c r="H77" s="292">
        <f t="shared" si="2"/>
        <v>6</v>
      </c>
      <c r="I77" s="293">
        <f t="shared" si="2"/>
        <v>7</v>
      </c>
    </row>
    <row r="78" spans="2:12" outlineLevel="1" x14ac:dyDescent="0.2">
      <c r="B78" s="36" t="s">
        <v>91</v>
      </c>
      <c r="C78" s="232"/>
      <c r="D78" s="233"/>
      <c r="E78" s="112"/>
      <c r="F78" s="112"/>
      <c r="G78" s="112"/>
      <c r="H78" s="112"/>
      <c r="I78" s="238"/>
    </row>
    <row r="79" spans="2:12" outlineLevel="1" x14ac:dyDescent="0.2">
      <c r="B79" s="36" t="s">
        <v>92</v>
      </c>
      <c r="C79" s="233"/>
      <c r="D79" s="233"/>
      <c r="E79" s="112"/>
      <c r="F79" s="112"/>
      <c r="G79" s="112"/>
      <c r="H79" s="112"/>
      <c r="I79" s="238"/>
    </row>
    <row r="80" spans="2:12" outlineLevel="1" x14ac:dyDescent="0.2">
      <c r="B80" s="36" t="s">
        <v>93</v>
      </c>
      <c r="C80" s="233"/>
      <c r="D80" s="233"/>
      <c r="E80" s="112"/>
      <c r="F80" s="112"/>
      <c r="G80" s="112"/>
      <c r="H80" s="112"/>
      <c r="I80" s="238"/>
    </row>
    <row r="81" spans="2:9" outlineLevel="1" x14ac:dyDescent="0.2">
      <c r="B81" s="36" t="s">
        <v>94</v>
      </c>
      <c r="C81" s="233"/>
      <c r="D81" s="233"/>
      <c r="E81" s="112"/>
      <c r="F81" s="112"/>
      <c r="G81" s="112"/>
      <c r="H81" s="112"/>
      <c r="I81" s="238"/>
    </row>
    <row r="82" spans="2:9" outlineLevel="1" x14ac:dyDescent="0.2">
      <c r="B82" s="36" t="s">
        <v>95</v>
      </c>
      <c r="C82" s="233"/>
      <c r="D82" s="233"/>
      <c r="E82" s="112"/>
      <c r="F82" s="112"/>
      <c r="G82" s="112"/>
      <c r="H82" s="112"/>
      <c r="I82" s="238"/>
    </row>
    <row r="83" spans="2:9" outlineLevel="1" x14ac:dyDescent="0.2">
      <c r="B83" s="36" t="s">
        <v>96</v>
      </c>
      <c r="C83" s="233"/>
      <c r="D83" s="233"/>
      <c r="E83" s="112"/>
      <c r="F83" s="112"/>
      <c r="G83" s="112"/>
      <c r="H83" s="112"/>
      <c r="I83" s="238"/>
    </row>
    <row r="84" spans="2:9" ht="10.8" outlineLevel="1" thickBot="1" x14ac:dyDescent="0.25">
      <c r="B84" s="247" t="s">
        <v>97</v>
      </c>
      <c r="C84" s="234"/>
      <c r="D84" s="68"/>
      <c r="E84" s="4"/>
      <c r="F84" s="4"/>
      <c r="G84" s="4"/>
      <c r="H84" s="4"/>
      <c r="I84" s="38"/>
    </row>
    <row r="85" spans="2:9" ht="10.8" outlineLevel="1" thickBot="1" x14ac:dyDescent="0.25">
      <c r="B85" s="248" t="s">
        <v>51</v>
      </c>
      <c r="C85" s="218"/>
      <c r="D85" s="218"/>
      <c r="E85" s="218"/>
      <c r="F85" s="218"/>
      <c r="G85" s="218"/>
      <c r="H85" s="218"/>
      <c r="I85" s="219"/>
    </row>
    <row r="87" spans="2:9" x14ac:dyDescent="0.2">
      <c r="B87" s="213" t="s">
        <v>113</v>
      </c>
      <c r="D87" s="3"/>
      <c r="E87" s="34"/>
    </row>
    <row r="88" spans="2:9" ht="10.8" outlineLevel="1" thickBot="1" x14ac:dyDescent="0.25">
      <c r="B88" s="3"/>
      <c r="C88" s="122" t="s">
        <v>98</v>
      </c>
      <c r="D88" s="3"/>
      <c r="E88" s="34"/>
    </row>
    <row r="89" spans="2:9" outlineLevel="1" x14ac:dyDescent="0.2">
      <c r="B89" s="44" t="s">
        <v>99</v>
      </c>
      <c r="C89" s="215"/>
      <c r="E89" s="10"/>
    </row>
    <row r="90" spans="2:9" outlineLevel="1" x14ac:dyDescent="0.2">
      <c r="B90" s="36" t="s">
        <v>100</v>
      </c>
      <c r="C90" s="249"/>
      <c r="E90" s="10"/>
    </row>
    <row r="91" spans="2:9" outlineLevel="1" x14ac:dyDescent="0.2">
      <c r="B91" s="36" t="s">
        <v>101</v>
      </c>
      <c r="C91" s="249"/>
      <c r="E91" s="34"/>
    </row>
    <row r="92" spans="2:9" outlineLevel="1" x14ac:dyDescent="0.2">
      <c r="B92" s="36" t="s">
        <v>102</v>
      </c>
      <c r="C92" s="249"/>
    </row>
    <row r="93" spans="2:9" outlineLevel="1" x14ac:dyDescent="0.2">
      <c r="B93" s="36" t="s">
        <v>103</v>
      </c>
      <c r="C93" s="249"/>
    </row>
    <row r="94" spans="2:9" ht="10.8" outlineLevel="1" thickBot="1" x14ac:dyDescent="0.25">
      <c r="B94" s="39" t="s">
        <v>104</v>
      </c>
      <c r="C94" s="250"/>
    </row>
    <row r="96" spans="2:9" x14ac:dyDescent="0.2">
      <c r="B96" s="213" t="s">
        <v>114</v>
      </c>
    </row>
    <row r="97" spans="1:4" ht="10.8" outlineLevel="1" thickBot="1" x14ac:dyDescent="0.25">
      <c r="C97" s="122" t="s">
        <v>54</v>
      </c>
      <c r="D97" s="122" t="s">
        <v>53</v>
      </c>
    </row>
    <row r="98" spans="1:4" outlineLevel="1" x14ac:dyDescent="0.2">
      <c r="B98" s="44" t="s">
        <v>58</v>
      </c>
      <c r="C98" s="222"/>
      <c r="D98" s="223"/>
    </row>
    <row r="99" spans="1:4" outlineLevel="1" x14ac:dyDescent="0.2">
      <c r="B99" s="36" t="s">
        <v>105</v>
      </c>
      <c r="C99" s="98"/>
      <c r="D99" s="216"/>
    </row>
    <row r="100" spans="1:4" outlineLevel="1" x14ac:dyDescent="0.2">
      <c r="B100" s="36" t="s">
        <v>106</v>
      </c>
      <c r="C100" s="98"/>
      <c r="D100" s="216"/>
    </row>
    <row r="101" spans="1:4" outlineLevel="1" x14ac:dyDescent="0.2">
      <c r="B101" s="36" t="s">
        <v>60</v>
      </c>
      <c r="C101" s="98"/>
      <c r="D101" s="216"/>
    </row>
    <row r="102" spans="1:4" outlineLevel="1" x14ac:dyDescent="0.2">
      <c r="B102" s="36" t="s">
        <v>61</v>
      </c>
      <c r="C102" s="98"/>
      <c r="D102" s="216"/>
    </row>
    <row r="103" spans="1:4" ht="10.8" outlineLevel="1" thickBot="1" x14ac:dyDescent="0.25">
      <c r="B103" s="39" t="s">
        <v>62</v>
      </c>
      <c r="C103" s="218"/>
      <c r="D103" s="219"/>
    </row>
    <row r="106" spans="1:4" x14ac:dyDescent="0.2">
      <c r="A106" s="2"/>
    </row>
  </sheetData>
  <customSheetViews>
    <customSheetView guid="{D4D7EB23-CC17-11D2-866F-0020AFB54048}" showRuler="0">
      <selection activeCell="D8" sqref="D8"/>
      <pageMargins left="0.44" right="0.37" top="1.1100000000000001" bottom="1" header="0.511811024" footer="0.511811024"/>
      <printOptions headings="1"/>
      <pageSetup paperSize="9" orientation="landscape" horizontalDpi="300" verticalDpi="300" r:id="rId1"/>
      <headerFooter alignWithMargins="0">
        <oddHeader>&amp;A</oddHeader>
        <oddFooter>&amp;LMODELEVA&amp;CDEPTO. ECONOMIA FINANCIERA&amp;RUNIVERSIDAD DE SANTIAGO</oddFooter>
      </headerFooter>
    </customSheetView>
    <customSheetView guid="{D4D7EB24-CC17-11D2-866F-0020AFB54048}" showRuler="0">
      <selection activeCell="B4" sqref="B4:F14"/>
      <pageMargins left="0.44" right="0.37" top="1.1100000000000001" bottom="1" header="0.511811024" footer="0.511811024"/>
      <printOptions headings="1"/>
      <pageSetup paperSize="9" orientation="landscape" horizontalDpi="300" verticalDpi="300" r:id="rId2"/>
      <headerFooter alignWithMargins="0">
        <oddHeader>&amp;A</oddHeader>
        <oddFooter>&amp;LMODELEVA&amp;CDEPTO. ECONOMIA FINANCIERA&amp;RUNIVERSIDAD DE SANTIAGO</oddFooter>
      </headerFooter>
    </customSheetView>
  </customSheetViews>
  <mergeCells count="1">
    <mergeCell ref="G61:G62"/>
  </mergeCells>
  <phoneticPr fontId="4" type="noConversion"/>
  <dataValidations xWindow="784" yWindow="269" count="25">
    <dataValidation type="decimal" operator="greaterThanOrEqual" allowBlank="1" showInputMessage="1" showErrorMessage="1" prompt="Introducir un porcentaje." sqref="D98:D103">
      <formula1>0</formula1>
    </dataValidation>
    <dataValidation type="decimal" operator="greaterThan" allowBlank="1" showInputMessage="1" showErrorMessage="1" prompt="Introducir un porcentaje." sqref="C98:C103">
      <formula1>0</formula1>
    </dataValidation>
    <dataValidation type="list" allowBlank="1" showInputMessage="1" showErrorMessage="1" prompt="Elegir el número de meses de la lista desplegable" sqref="C89:C94">
      <formula1>"0,1,2,3"</formula1>
    </dataValidation>
    <dataValidation type="decimal" allowBlank="1" showInputMessage="1" showErrorMessage="1" prompt="Porcentaje sobre los ingresos de las otras líneas de negocio" sqref="G61:G62">
      <formula1>0</formula1>
      <formula2>1</formula2>
    </dataValidation>
    <dataValidation type="list" allowBlank="1" showInputMessage="1" showErrorMessage="1" sqref="C60:G60">
      <formula1>"1,2,3,4,5,6,7"</formula1>
    </dataValidation>
    <dataValidation type="whole" operator="greaterThanOrEqual" allowBlank="1" showInputMessage="1" showErrorMessage="1" prompt="Introduzca un valor entero mayor o igual a 3.000" sqref="C55">
      <formula1>3000</formula1>
    </dataValidation>
    <dataValidation type="decimal" operator="greaterThanOrEqual" allowBlank="1" showInputMessage="1" showErrorMessage="1" prompt="Introducir un porcentaje" sqref="C12">
      <formula1>0</formula1>
    </dataValidation>
    <dataValidation type="decimal" allowBlank="1" showInputMessage="1" showErrorMessage="1" prompt="Introducir un porcentaje" sqref="C52 C49:C50">
      <formula1>0</formula1>
      <formula2>1</formula2>
    </dataValidation>
    <dataValidation type="decimal" allowBlank="1" showInputMessage="1" showErrorMessage="1" prompt="Introducir un porcentaje " sqref="C51">
      <formula1>0</formula1>
      <formula2>1</formula2>
    </dataValidation>
    <dataValidation type="whole" allowBlank="1" showInputMessage="1" showErrorMessage="1" sqref="D36">
      <formula1>1</formula1>
      <formula2>8</formula2>
    </dataValidation>
    <dataValidation type="decimal" allowBlank="1" showInputMessage="1" showErrorMessage="1" prompt="Introducir un porcentaje" sqref="F16:F35 F37:F46">
      <formula1>0</formula1>
      <formula2>0.3</formula2>
    </dataValidation>
    <dataValidation type="decimal" allowBlank="1" showInputMessage="1" showErrorMessage="1" prompt="Introducir un porcentaje entre 0% y 100%" sqref="E37:E46 E16:E35">
      <formula1>0</formula1>
      <formula2>1</formula2>
    </dataValidation>
    <dataValidation type="decimal" allowBlank="1" showInputMessage="1" showErrorMessage="1" prompt="Introducir un porcentaje (entre 5% y 30%)" sqref="C10">
      <formula1>0.05</formula1>
      <formula2>0.3</formula2>
    </dataValidation>
    <dataValidation type="decimal" allowBlank="1" showInputMessage="1" showErrorMessage="1" prompt="Introducir un porcentaje (entre 0 y 6%)" sqref="C8">
      <formula1>0</formula1>
      <formula2>0.06</formula2>
    </dataValidation>
    <dataValidation type="whole" allowBlank="1" showInputMessage="1" showErrorMessage="1" prompt="Introduzca un número entero entre 1 y 8._x000a_1. Inicio_x000a_8. Final año 7." sqref="D37:D46 D16:D35">
      <formula1>1</formula1>
      <formula2>8</formula2>
    </dataValidation>
    <dataValidation type="whole" operator="greaterThanOrEqual" allowBlank="1" showInputMessage="1" showErrorMessage="1" prompt="Introduzca un valor entero positivo." sqref="C16:C35 C37:C46">
      <formula1>0</formula1>
    </dataValidation>
    <dataValidation type="whole" operator="greaterThanOrEqual" allowBlank="1" showInputMessage="1" showErrorMessage="1" prompt="Introduzca valores enteros mayores que cero" sqref="C56:I56">
      <formula1>0</formula1>
    </dataValidation>
    <dataValidation type="decimal" operator="greaterThanOrEqual" allowBlank="1" showInputMessage="1" showErrorMessage="1" prompt="Introduzca valores positivos" sqref="C61:F61">
      <formula1>0</formula1>
    </dataValidation>
    <dataValidation type="whole" operator="greaterThanOrEqual" allowBlank="1" showInputMessage="1" showErrorMessage="1" prompt="Introduzca valores enteros positivos." sqref="C62:F62">
      <formula1>0</formula1>
    </dataValidation>
    <dataValidation type="decimal" operator="greaterThanOrEqual" allowBlank="1" showInputMessage="1" showErrorMessage="1" prompt="Introduzca un porcentaje" sqref="C63:G68">
      <formula1>-1</formula1>
    </dataValidation>
    <dataValidation type="decimal" allowBlank="1" showInputMessage="1" showErrorMessage="1" prompt="Introduzca un porcentaje" sqref="C69:G71">
      <formula1>0</formula1>
      <formula2>1</formula2>
    </dataValidation>
    <dataValidation type="whole" operator="greaterThanOrEqual" allowBlank="1" showInputMessage="1" showErrorMessage="1" prompt="Introduzca valores enteros positivos" sqref="C73:I73 C78:C84">
      <formula1>0</formula1>
    </dataValidation>
    <dataValidation type="decimal" operator="greaterThanOrEqual" allowBlank="1" showInputMessage="1" showErrorMessage="1" prompt="Introduzca un porcentaje." sqref="C85:I85">
      <formula1>0</formula1>
    </dataValidation>
    <dataValidation type="decimal" allowBlank="1" showInputMessage="1" showErrorMessage="1" prompt="Introducir un porcentaje postivo y al menos 3 puntos inferior a la rentabilidad requerida." sqref="C11">
      <formula1>0</formula1>
      <formula2>C10-0.03</formula2>
    </dataValidation>
    <dataValidation type="decimal" allowBlank="1" showInputMessage="1" showErrorMessage="1" prompt="Introduzca un porcentaje inferior al 40%" sqref="C9">
      <formula1>0</formula1>
      <formula2>0.4</formula2>
    </dataValidation>
  </dataValidations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legacyDrawing r:id="rId4"/>
  <extLst>
    <ext xmlns:x14="http://schemas.microsoft.com/office/spreadsheetml/2009/9/main" uri="{CCE6A557-97BC-4b89-ADB6-D9C93CAAB3DF}">
      <x14:dataValidations xmlns:xm="http://schemas.microsoft.com/office/excel/2006/main" xWindow="784" yWindow="269" count="1">
        <x14:dataValidation type="list" allowBlank="1" showInputMessage="1" showErrorMessage="1" prompt="Escoja el escenario que quiere ver.">
          <x14:formula1>
            <xm:f>RIESGO!$D$4:$F$4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autoPageBreaks="0"/>
  </sheetPr>
  <dimension ref="A1:CY74"/>
  <sheetViews>
    <sheetView showGridLines="0" workbookViewId="0">
      <pane xSplit="2" ySplit="3" topLeftCell="E4" activePane="bottomRight" state="frozen"/>
      <selection pane="topRight"/>
      <selection pane="bottomLeft"/>
      <selection pane="bottomRight" activeCell="C22" sqref="C22"/>
    </sheetView>
  </sheetViews>
  <sheetFormatPr baseColWidth="10" defaultColWidth="24.33203125" defaultRowHeight="13.2" x14ac:dyDescent="0.25"/>
  <cols>
    <col min="1" max="1" width="2" style="3" customWidth="1"/>
    <col min="2" max="2" width="22.44140625" style="3" customWidth="1"/>
    <col min="3" max="3" width="9.21875" style="1" customWidth="1"/>
    <col min="4" max="4" width="6.77734375" style="3" customWidth="1"/>
    <col min="5" max="5" width="5.88671875" style="3" customWidth="1"/>
    <col min="6" max="6" width="6.44140625" customWidth="1"/>
    <col min="7" max="7" width="10" customWidth="1"/>
    <col min="8" max="8" width="6.5546875" customWidth="1"/>
    <col min="9" max="9" width="6.109375" style="12" customWidth="1"/>
    <col min="10" max="12" width="7.109375" style="122" customWidth="1"/>
    <col min="13" max="13" width="7.88671875" style="122" customWidth="1"/>
    <col min="14" max="15" width="7.109375" style="122" customWidth="1"/>
    <col min="16" max="16" width="7.5546875" style="122" customWidth="1"/>
    <col min="17" max="17" width="3.88671875" style="14" customWidth="1"/>
    <col min="18" max="72" width="8" style="3" customWidth="1"/>
    <col min="73" max="16384" width="24.33203125" style="3"/>
  </cols>
  <sheetData>
    <row r="1" spans="1:103" ht="9.6" customHeight="1" thickBot="1" x14ac:dyDescent="0.3">
      <c r="G1" s="89"/>
      <c r="I1" s="6"/>
    </row>
    <row r="2" spans="1:103" s="12" customFormat="1" x14ac:dyDescent="0.25">
      <c r="A2" s="3"/>
      <c r="B2" s="179"/>
      <c r="C2" s="136"/>
      <c r="D2" s="137"/>
      <c r="E2" s="137"/>
      <c r="F2" s="137"/>
      <c r="G2" s="390" t="s">
        <v>229</v>
      </c>
      <c r="H2" s="389">
        <f>RIESGO!C7</f>
        <v>1</v>
      </c>
      <c r="I2" s="6"/>
      <c r="J2" s="265"/>
      <c r="K2" s="284" t="s">
        <v>28</v>
      </c>
      <c r="L2" s="266"/>
      <c r="M2" s="266"/>
      <c r="N2" s="266"/>
      <c r="O2" s="266"/>
      <c r="P2" s="267"/>
      <c r="Q2" s="14"/>
    </row>
    <row r="3" spans="1:103" s="12" customFormat="1" ht="10.199999999999999" x14ac:dyDescent="0.2">
      <c r="A3" s="3"/>
      <c r="B3" s="128" t="str">
        <f>RIESGO!C6</f>
        <v>Escenario  Base</v>
      </c>
      <c r="C3" s="124" t="s">
        <v>10</v>
      </c>
      <c r="D3" s="124" t="s">
        <v>9</v>
      </c>
      <c r="E3" s="124" t="s">
        <v>12</v>
      </c>
      <c r="F3" s="124" t="s">
        <v>15</v>
      </c>
      <c r="G3" s="124" t="s">
        <v>58</v>
      </c>
      <c r="H3" s="193" t="s">
        <v>15</v>
      </c>
      <c r="I3" s="6"/>
      <c r="J3" s="268">
        <v>1</v>
      </c>
      <c r="K3" s="269">
        <f t="shared" ref="K3:P3" si="0">J3+1</f>
        <v>2</v>
      </c>
      <c r="L3" s="269">
        <f t="shared" si="0"/>
        <v>3</v>
      </c>
      <c r="M3" s="269">
        <f t="shared" si="0"/>
        <v>4</v>
      </c>
      <c r="N3" s="270">
        <f t="shared" si="0"/>
        <v>5</v>
      </c>
      <c r="O3" s="269">
        <f t="shared" si="0"/>
        <v>6</v>
      </c>
      <c r="P3" s="271">
        <f t="shared" si="0"/>
        <v>7</v>
      </c>
      <c r="Q3" s="14"/>
    </row>
    <row r="4" spans="1:103" s="16" customFormat="1" ht="10.199999999999999" x14ac:dyDescent="0.2">
      <c r="A4" s="3"/>
      <c r="B4" s="54" t="str">
        <f>INPUTS!B15</f>
        <v>INMOVILIZADO MATERIAL</v>
      </c>
      <c r="C4" s="22"/>
      <c r="D4" s="22"/>
      <c r="E4" s="22"/>
      <c r="F4" s="22"/>
      <c r="G4" s="22"/>
      <c r="H4" s="100"/>
      <c r="I4" s="6"/>
      <c r="J4" s="272"/>
      <c r="K4" s="87"/>
      <c r="L4" s="87"/>
      <c r="M4" s="87"/>
      <c r="N4" s="87"/>
      <c r="O4" s="87"/>
      <c r="P4" s="273"/>
      <c r="Q4" s="6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</row>
    <row r="5" spans="1:103" s="6" customFormat="1" ht="10.199999999999999" x14ac:dyDescent="0.2">
      <c r="A5" s="132"/>
      <c r="B5" s="185" t="str">
        <f>INPUTS!B16</f>
        <v>Inmv. Mat. 1</v>
      </c>
      <c r="C5" s="161">
        <f>INPUTS!C16</f>
        <v>0</v>
      </c>
      <c r="D5" s="161">
        <f>INPUTS!D16</f>
        <v>0</v>
      </c>
      <c r="E5" s="169">
        <f>INPUTS!E16</f>
        <v>0</v>
      </c>
      <c r="F5" s="169">
        <f>INPUTS!F16</f>
        <v>0</v>
      </c>
      <c r="G5" s="33">
        <f>C5*$H$2*(1+INPUTS!$C$8)^(D5-1)</f>
        <v>0</v>
      </c>
      <c r="H5" s="252">
        <f t="shared" ref="H5:H24" si="1">G5*F5</f>
        <v>0</v>
      </c>
      <c r="J5" s="274">
        <f>IF(D5&gt;$J$3,0,E5*G5)</f>
        <v>0</v>
      </c>
      <c r="K5" s="106">
        <f>IF($D5&gt;K$3,0,IF($E5*$G5&lt;$G5-SUM($J5:J5),$E5*$G5,$G5-SUM($J5:J5)))</f>
        <v>0</v>
      </c>
      <c r="L5" s="106">
        <f>IF($D5&gt;L$3,0,IF($E5*$G5&lt;$G5-SUM($J5:K5),$E5*$G5,$G5-SUM($J5:K5)))</f>
        <v>0</v>
      </c>
      <c r="M5" s="106">
        <f>IF($D5&gt;M$3,0,IF($E5*$G5&lt;$G5-SUM($J5:L5),$E5*$G5,$G5-SUM($J5:L5)))</f>
        <v>0</v>
      </c>
      <c r="N5" s="106">
        <f>IF($D5&gt;N$3,0,IF($E5*$G5&lt;$G5-SUM($J5:M5),$E5*$G5,$G5-SUM($J5:M5)))</f>
        <v>0</v>
      </c>
      <c r="O5" s="106">
        <f>IF($D5&gt;O$3,0,IF($E5*$G5&lt;$G5-SUM($J5:N5),$E5*$G5,$G5-SUM($J5:N5)))</f>
        <v>0</v>
      </c>
      <c r="P5" s="173">
        <f>IF($D5&gt;P$3,0,IF($E5*$G5&lt;$G5-SUM($J5:O5),$E5*$G5,$G5-SUM($J5:O5)))</f>
        <v>0</v>
      </c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</row>
    <row r="6" spans="1:103" s="6" customFormat="1" ht="10.199999999999999" x14ac:dyDescent="0.2">
      <c r="A6" s="132"/>
      <c r="B6" s="185" t="str">
        <f>INPUTS!B17</f>
        <v>Inmv. Mat. 2</v>
      </c>
      <c r="C6" s="161">
        <f>INPUTS!C17</f>
        <v>0</v>
      </c>
      <c r="D6" s="161">
        <f>INPUTS!D17</f>
        <v>0</v>
      </c>
      <c r="E6" s="169">
        <f>INPUTS!E17</f>
        <v>0</v>
      </c>
      <c r="F6" s="169">
        <f>INPUTS!F17</f>
        <v>0</v>
      </c>
      <c r="G6" s="33">
        <f>C6*$H$2*(1+INPUTS!$C$8)^(D6-1)</f>
        <v>0</v>
      </c>
      <c r="H6" s="252">
        <f t="shared" si="1"/>
        <v>0</v>
      </c>
      <c r="J6" s="274">
        <f t="shared" ref="J6:J42" si="2">IF(D6&gt;$J$3,0,E6*G6)</f>
        <v>0</v>
      </c>
      <c r="K6" s="106">
        <f>IF($D6&gt;K$3,0,IF($E6*$G6&lt;$G6-SUM($J6:J6),$E6*$G6,$G6-SUM($J6:J6)))</f>
        <v>0</v>
      </c>
      <c r="L6" s="106">
        <f>IF($D6&gt;L$3,0,IF($E6*$G6&lt;$G6-SUM($J6:K6),$E6*$G6,$G6-SUM($J6:K6)))</f>
        <v>0</v>
      </c>
      <c r="M6" s="106">
        <f>IF($D6&gt;M$3,0,IF($E6*$G6&lt;$G6-SUM($J6:L6),$E6*$G6,$G6-SUM($J6:L6)))</f>
        <v>0</v>
      </c>
      <c r="N6" s="106">
        <f>IF($D6&gt;N$3,0,IF($E6*$G6&lt;$G6-SUM($J6:M6),$E6*$G6,$G6-SUM($J6:M6)))</f>
        <v>0</v>
      </c>
      <c r="O6" s="106">
        <f>IF($D6&gt;O$3,0,IF($E6*$G6&lt;$G6-SUM($J6:N6),$E6*$G6,$G6-SUM($J6:N6)))</f>
        <v>0</v>
      </c>
      <c r="P6" s="173">
        <f>IF($D6&gt;P$3,0,IF($E6*$G6&lt;$G6-SUM($J6:O6),$E6*$G6,$G6-SUM($J6:O6)))</f>
        <v>0</v>
      </c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</row>
    <row r="7" spans="1:103" s="6" customFormat="1" ht="10.199999999999999" x14ac:dyDescent="0.2">
      <c r="A7" s="132"/>
      <c r="B7" s="185" t="str">
        <f>INPUTS!B18</f>
        <v>Inmv. Mat. 3</v>
      </c>
      <c r="C7" s="161">
        <f>INPUTS!C18</f>
        <v>0</v>
      </c>
      <c r="D7" s="161">
        <f>INPUTS!D18</f>
        <v>0</v>
      </c>
      <c r="E7" s="169">
        <f>INPUTS!E18</f>
        <v>0</v>
      </c>
      <c r="F7" s="169">
        <f>INPUTS!F18</f>
        <v>0</v>
      </c>
      <c r="G7" s="33">
        <f>C7*$H$2*(1+INPUTS!$C$8)^(D7-1)</f>
        <v>0</v>
      </c>
      <c r="H7" s="252">
        <f t="shared" si="1"/>
        <v>0</v>
      </c>
      <c r="J7" s="274">
        <f t="shared" si="2"/>
        <v>0</v>
      </c>
      <c r="K7" s="106">
        <f>IF($D7&gt;K$3,0,IF($E7*$G7&lt;$G7-SUM($J7:J7),$E7*$G7,$G7-SUM($J7:J7)))</f>
        <v>0</v>
      </c>
      <c r="L7" s="106">
        <f>IF($D7&gt;L$3,0,IF($E7*$G7&lt;$G7-SUM($J7:K7),$E7*$G7,$G7-SUM($J7:K7)))</f>
        <v>0</v>
      </c>
      <c r="M7" s="106">
        <f>IF($D7&gt;M$3,0,IF($E7*$G7&lt;$G7-SUM($J7:L7),$E7*$G7,$G7-SUM($J7:L7)))</f>
        <v>0</v>
      </c>
      <c r="N7" s="106">
        <f>IF($D7&gt;N$3,0,IF($E7*$G7&lt;$G7-SUM($J7:M7),$E7*$G7,$G7-SUM($J7:M7)))</f>
        <v>0</v>
      </c>
      <c r="O7" s="106">
        <f>IF($D7&gt;O$3,0,IF($E7*$G7&lt;$G7-SUM($J7:N7),$E7*$G7,$G7-SUM($J7:N7)))</f>
        <v>0</v>
      </c>
      <c r="P7" s="173">
        <f>IF($D7&gt;P$3,0,IF($E7*$G7&lt;$G7-SUM($J7:O7),$E7*$G7,$G7-SUM($J7:O7)))</f>
        <v>0</v>
      </c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</row>
    <row r="8" spans="1:103" s="6" customFormat="1" ht="10.199999999999999" x14ac:dyDescent="0.2">
      <c r="A8" s="132"/>
      <c r="B8" s="185" t="str">
        <f>INPUTS!B19</f>
        <v>Inmv. Mat. 4</v>
      </c>
      <c r="C8" s="161">
        <f>INPUTS!C19</f>
        <v>0</v>
      </c>
      <c r="D8" s="161">
        <f>INPUTS!D19</f>
        <v>0</v>
      </c>
      <c r="E8" s="169">
        <f>INPUTS!E19</f>
        <v>0</v>
      </c>
      <c r="F8" s="169">
        <f>INPUTS!F19</f>
        <v>0</v>
      </c>
      <c r="G8" s="33">
        <f>C8*$H$2*(1+INPUTS!$C$8)^(D8-1)</f>
        <v>0</v>
      </c>
      <c r="H8" s="252">
        <f t="shared" si="1"/>
        <v>0</v>
      </c>
      <c r="J8" s="274">
        <f t="shared" si="2"/>
        <v>0</v>
      </c>
      <c r="K8" s="106">
        <f>IF($D8&gt;K$3,0,IF($E8*$G8&lt;$G8-SUM($J8:J8),$E8*$G8,$G8-SUM($J8:J8)))</f>
        <v>0</v>
      </c>
      <c r="L8" s="106">
        <f>IF($D8&gt;L$3,0,IF($E8*$G8&lt;$G8-SUM($J8:K8),$E8*$G8,$G8-SUM($J8:K8)))</f>
        <v>0</v>
      </c>
      <c r="M8" s="106">
        <f>IF($D8&gt;M$3,0,IF($E8*$G8&lt;$G8-SUM($J8:L8),$E8*$G8,$G8-SUM($J8:L8)))</f>
        <v>0</v>
      </c>
      <c r="N8" s="106">
        <f>IF($D8&gt;N$3,0,IF($E8*$G8&lt;$G8-SUM($J8:M8),$E8*$G8,$G8-SUM($J8:M8)))</f>
        <v>0</v>
      </c>
      <c r="O8" s="106">
        <f>IF($D8&gt;O$3,0,IF($E8*$G8&lt;$G8-SUM($J8:N8),$E8*$G8,$G8-SUM($J8:N8)))</f>
        <v>0</v>
      </c>
      <c r="P8" s="173">
        <f>IF($D8&gt;P$3,0,IF($E8*$G8&lt;$G8-SUM($J8:O8),$E8*$G8,$G8-SUM($J8:O8)))</f>
        <v>0</v>
      </c>
    </row>
    <row r="9" spans="1:103" s="6" customFormat="1" ht="10.199999999999999" x14ac:dyDescent="0.2">
      <c r="A9" s="132"/>
      <c r="B9" s="185" t="str">
        <f>INPUTS!B20</f>
        <v>Inmv. Mat. 5</v>
      </c>
      <c r="C9" s="161">
        <f>INPUTS!C20</f>
        <v>0</v>
      </c>
      <c r="D9" s="161">
        <f>INPUTS!D20</f>
        <v>0</v>
      </c>
      <c r="E9" s="169">
        <f>INPUTS!E20</f>
        <v>0</v>
      </c>
      <c r="F9" s="169">
        <f>INPUTS!F20</f>
        <v>0</v>
      </c>
      <c r="G9" s="33">
        <f>C9*$H$2*(1+INPUTS!$C$8)^(D9-1)</f>
        <v>0</v>
      </c>
      <c r="H9" s="252">
        <f t="shared" si="1"/>
        <v>0</v>
      </c>
      <c r="J9" s="274">
        <f t="shared" si="2"/>
        <v>0</v>
      </c>
      <c r="K9" s="106">
        <f>IF($D9&gt;K$3,0,IF($E9*$G9&lt;$G9-SUM($J9:J9),$E9*$G9,$G9-SUM($J9:J9)))</f>
        <v>0</v>
      </c>
      <c r="L9" s="106">
        <f>IF($D9&gt;L$3,0,IF($E9*$G9&lt;$G9-SUM($J9:K9),$E9*$G9,$G9-SUM($J9:K9)))</f>
        <v>0</v>
      </c>
      <c r="M9" s="106">
        <f>IF($D9&gt;M$3,0,IF($E9*$G9&lt;$G9-SUM($J9:L9),$E9*$G9,$G9-SUM($J9:L9)))</f>
        <v>0</v>
      </c>
      <c r="N9" s="106">
        <f>IF($D9&gt;N$3,0,IF($E9*$G9&lt;$G9-SUM($J9:M9),$E9*$G9,$G9-SUM($J9:M9)))</f>
        <v>0</v>
      </c>
      <c r="O9" s="106">
        <f>IF($D9&gt;O$3,0,IF($E9*$G9&lt;$G9-SUM($J9:N9),$E9*$G9,$G9-SUM($J9:N9)))</f>
        <v>0</v>
      </c>
      <c r="P9" s="173">
        <f>IF($D9&gt;P$3,0,IF($E9*$G9&lt;$G9-SUM($J9:O9),$E9*$G9,$G9-SUM($J9:O9)))</f>
        <v>0</v>
      </c>
    </row>
    <row r="10" spans="1:103" s="6" customFormat="1" ht="10.199999999999999" x14ac:dyDescent="0.2">
      <c r="A10" s="132"/>
      <c r="B10" s="185" t="str">
        <f>INPUTS!B21</f>
        <v>Inmv. Mat. 6</v>
      </c>
      <c r="C10" s="161">
        <f>INPUTS!C21</f>
        <v>0</v>
      </c>
      <c r="D10" s="161">
        <f>INPUTS!D21</f>
        <v>0</v>
      </c>
      <c r="E10" s="169">
        <f>INPUTS!E21</f>
        <v>0</v>
      </c>
      <c r="F10" s="169">
        <f>INPUTS!F21</f>
        <v>0</v>
      </c>
      <c r="G10" s="33">
        <f>C10*$H$2*(1+INPUTS!$C$8)^(D10-1)</f>
        <v>0</v>
      </c>
      <c r="H10" s="252">
        <f t="shared" si="1"/>
        <v>0</v>
      </c>
      <c r="J10" s="274">
        <f t="shared" si="2"/>
        <v>0</v>
      </c>
      <c r="K10" s="106">
        <f>IF($D10&gt;K$3,0,IF($E10*$G10&lt;$G10-SUM($J10:J10),$E10*$G10,$G10-SUM($J10:J10)))</f>
        <v>0</v>
      </c>
      <c r="L10" s="106">
        <f>IF($D10&gt;L$3,0,IF($E10*$G10&lt;$G10-SUM($J10:K10),$E10*$G10,$G10-SUM($J10:K10)))</f>
        <v>0</v>
      </c>
      <c r="M10" s="106">
        <f>IF($D10&gt;M$3,0,IF($E10*$G10&lt;$G10-SUM($J10:L10),$E10*$G10,$G10-SUM($J10:L10)))</f>
        <v>0</v>
      </c>
      <c r="N10" s="106">
        <f>IF($D10&gt;N$3,0,IF($E10*$G10&lt;$G10-SUM($J10:M10),$E10*$G10,$G10-SUM($J10:M10)))</f>
        <v>0</v>
      </c>
      <c r="O10" s="106">
        <f>IF($D10&gt;O$3,0,IF($E10*$G10&lt;$G10-SUM($J10:N10),$E10*$G10,$G10-SUM($J10:N10)))</f>
        <v>0</v>
      </c>
      <c r="P10" s="173">
        <f>IF($D10&gt;P$3,0,IF($E10*$G10&lt;$G10-SUM($J10:O10),$E10*$G10,$G10-SUM($J10:O10)))</f>
        <v>0</v>
      </c>
    </row>
    <row r="11" spans="1:103" s="6" customFormat="1" ht="10.199999999999999" x14ac:dyDescent="0.2">
      <c r="A11" s="132"/>
      <c r="B11" s="185" t="str">
        <f>INPUTS!B22</f>
        <v>Inmv. Mat. 7</v>
      </c>
      <c r="C11" s="161">
        <f>INPUTS!C22</f>
        <v>0</v>
      </c>
      <c r="D11" s="161">
        <f>INPUTS!D22</f>
        <v>0</v>
      </c>
      <c r="E11" s="169">
        <f>INPUTS!E22</f>
        <v>0</v>
      </c>
      <c r="F11" s="169">
        <f>INPUTS!F22</f>
        <v>0</v>
      </c>
      <c r="G11" s="33">
        <f>C11*$H$2*(1+INPUTS!$C$8)^(D11-1)</f>
        <v>0</v>
      </c>
      <c r="H11" s="252">
        <f t="shared" si="1"/>
        <v>0</v>
      </c>
      <c r="J11" s="274">
        <f t="shared" si="2"/>
        <v>0</v>
      </c>
      <c r="K11" s="106">
        <f>IF($D11&gt;K$3,0,IF($E11*$G11&lt;$G11-SUM($J11:J11),$E11*$G11,$G11-SUM($J11:J11)))</f>
        <v>0</v>
      </c>
      <c r="L11" s="106">
        <f>IF($D11&gt;L$3,0,IF($E11*$G11&lt;$G11-SUM($J11:K11),$E11*$G11,$G11-SUM($J11:K11)))</f>
        <v>0</v>
      </c>
      <c r="M11" s="106">
        <f>IF($D11&gt;M$3,0,IF($E11*$G11&lt;$G11-SUM($J11:L11),$E11*$G11,$G11-SUM($J11:L11)))</f>
        <v>0</v>
      </c>
      <c r="N11" s="106">
        <f>IF($D11&gt;N$3,0,IF($E11*$G11&lt;$G11-SUM($J11:M11),$E11*$G11,$G11-SUM($J11:M11)))</f>
        <v>0</v>
      </c>
      <c r="O11" s="106">
        <f>IF($D11&gt;O$3,0,IF($E11*$G11&lt;$G11-SUM($J11:N11),$E11*$G11,$G11-SUM($J11:N11)))</f>
        <v>0</v>
      </c>
      <c r="P11" s="173">
        <f>IF($D11&gt;P$3,0,IF($E11*$G11&lt;$G11-SUM($J11:O11),$E11*$G11,$G11-SUM($J11:O11)))</f>
        <v>0</v>
      </c>
    </row>
    <row r="12" spans="1:103" s="6" customFormat="1" ht="10.199999999999999" x14ac:dyDescent="0.2">
      <c r="A12" s="132"/>
      <c r="B12" s="185" t="str">
        <f>INPUTS!B23</f>
        <v>Inmv. Mat. 8</v>
      </c>
      <c r="C12" s="161">
        <f>INPUTS!C23</f>
        <v>0</v>
      </c>
      <c r="D12" s="161">
        <f>INPUTS!D23</f>
        <v>0</v>
      </c>
      <c r="E12" s="169">
        <f>INPUTS!E23</f>
        <v>0</v>
      </c>
      <c r="F12" s="169">
        <f>INPUTS!F23</f>
        <v>0</v>
      </c>
      <c r="G12" s="33">
        <f>C12*$H$2*(1+INPUTS!$C$8)^(D12-1)</f>
        <v>0</v>
      </c>
      <c r="H12" s="252">
        <f t="shared" si="1"/>
        <v>0</v>
      </c>
      <c r="J12" s="274">
        <f t="shared" si="2"/>
        <v>0</v>
      </c>
      <c r="K12" s="106">
        <f>IF($D12&gt;K$3,0,IF($E12*$G12&lt;$G12-SUM($J12:J12),$E12*$G12,$G12-SUM($J12:J12)))</f>
        <v>0</v>
      </c>
      <c r="L12" s="106">
        <f>IF($D12&gt;L$3,0,IF($E12*$G12&lt;$G12-SUM($J12:K12),$E12*$G12,$G12-SUM($J12:K12)))</f>
        <v>0</v>
      </c>
      <c r="M12" s="106">
        <f>IF($D12&gt;M$3,0,IF($E12*$G12&lt;$G12-SUM($J12:L12),$E12*$G12,$G12-SUM($J12:L12)))</f>
        <v>0</v>
      </c>
      <c r="N12" s="106">
        <f>IF($D12&gt;N$3,0,IF($E12*$G12&lt;$G12-SUM($J12:M12),$E12*$G12,$G12-SUM($J12:M12)))</f>
        <v>0</v>
      </c>
      <c r="O12" s="106">
        <f>IF($D12&gt;O$3,0,IF($E12*$G12&lt;$G12-SUM($J12:N12),$E12*$G12,$G12-SUM($J12:N12)))</f>
        <v>0</v>
      </c>
      <c r="P12" s="173">
        <f>IF($D12&gt;P$3,0,IF($E12*$G12&lt;$G12-SUM($J12:O12),$E12*$G12,$G12-SUM($J12:O12)))</f>
        <v>0</v>
      </c>
    </row>
    <row r="13" spans="1:103" s="6" customFormat="1" ht="10.199999999999999" x14ac:dyDescent="0.2">
      <c r="A13" s="132"/>
      <c r="B13" s="185" t="str">
        <f>INPUTS!B24</f>
        <v>Inmv. Mat. 9</v>
      </c>
      <c r="C13" s="161">
        <f>INPUTS!C24</f>
        <v>0</v>
      </c>
      <c r="D13" s="161">
        <f>INPUTS!D24</f>
        <v>0</v>
      </c>
      <c r="E13" s="169">
        <f>INPUTS!E24</f>
        <v>0</v>
      </c>
      <c r="F13" s="169">
        <f>INPUTS!F24</f>
        <v>0</v>
      </c>
      <c r="G13" s="33">
        <f>C13*$H$2*(1+INPUTS!$C$8)^(D13-1)</f>
        <v>0</v>
      </c>
      <c r="H13" s="252">
        <f t="shared" si="1"/>
        <v>0</v>
      </c>
      <c r="J13" s="274">
        <f t="shared" si="2"/>
        <v>0</v>
      </c>
      <c r="K13" s="106">
        <f>IF($D13&gt;K$3,0,IF($E13*$G13&lt;$G13-SUM($J13:J13),$E13*$G13,$G13-SUM($J13:J13)))</f>
        <v>0</v>
      </c>
      <c r="L13" s="106">
        <f>IF($D13&gt;L$3,0,IF($E13*$G13&lt;$G13-SUM($J13:K13),$E13*$G13,$G13-SUM($J13:K13)))</f>
        <v>0</v>
      </c>
      <c r="M13" s="106">
        <f>IF($D13&gt;M$3,0,IF($E13*$G13&lt;$G13-SUM($J13:L13),$E13*$G13,$G13-SUM($J13:L13)))</f>
        <v>0</v>
      </c>
      <c r="N13" s="106">
        <f>IF($D13&gt;N$3,0,IF($E13*$G13&lt;$G13-SUM($J13:M13),$E13*$G13,$G13-SUM($J13:M13)))</f>
        <v>0</v>
      </c>
      <c r="O13" s="106">
        <f>IF($D13&gt;O$3,0,IF($E13*$G13&lt;$G13-SUM($J13:N13),$E13*$G13,$G13-SUM($J13:N13)))</f>
        <v>0</v>
      </c>
      <c r="P13" s="173">
        <f>IF($D13&gt;P$3,0,IF($E13*$G13&lt;$G13-SUM($J13:O13),$E13*$G13,$G13-SUM($J13:O13)))</f>
        <v>0</v>
      </c>
    </row>
    <row r="14" spans="1:103" s="6" customFormat="1" ht="10.199999999999999" x14ac:dyDescent="0.2">
      <c r="A14" s="132"/>
      <c r="B14" s="185" t="str">
        <f>INPUTS!B25</f>
        <v>Inmv. Mat. 10</v>
      </c>
      <c r="C14" s="161">
        <f>INPUTS!C25</f>
        <v>0</v>
      </c>
      <c r="D14" s="161">
        <f>INPUTS!D25</f>
        <v>0</v>
      </c>
      <c r="E14" s="169">
        <f>INPUTS!E25</f>
        <v>0</v>
      </c>
      <c r="F14" s="169">
        <f>INPUTS!F25</f>
        <v>0</v>
      </c>
      <c r="G14" s="33">
        <f>C14*$H$2*(1+INPUTS!$C$8)^(D14-1)</f>
        <v>0</v>
      </c>
      <c r="H14" s="252">
        <f t="shared" si="1"/>
        <v>0</v>
      </c>
      <c r="J14" s="274">
        <f t="shared" si="2"/>
        <v>0</v>
      </c>
      <c r="K14" s="106">
        <f>IF($D14&gt;K$3,0,IF($E14*$G14&lt;$G14-SUM($J14:J14),$E14*$G14,$G14-SUM($J14:J14)))</f>
        <v>0</v>
      </c>
      <c r="L14" s="106">
        <f>IF($D14&gt;L$3,0,IF($E14*$G14&lt;$G14-SUM($J14:K14),$E14*$G14,$G14-SUM($J14:K14)))</f>
        <v>0</v>
      </c>
      <c r="M14" s="106">
        <f>IF($D14&gt;M$3,0,IF($E14*$G14&lt;$G14-SUM($J14:L14),$E14*$G14,$G14-SUM($J14:L14)))</f>
        <v>0</v>
      </c>
      <c r="N14" s="106">
        <f>IF($D14&gt;N$3,0,IF($E14*$G14&lt;$G14-SUM($J14:M14),$E14*$G14,$G14-SUM($J14:M14)))</f>
        <v>0</v>
      </c>
      <c r="O14" s="106">
        <f>IF($D14&gt;O$3,0,IF($E14*$G14&lt;$G14-SUM($J14:N14),$E14*$G14,$G14-SUM($J14:N14)))</f>
        <v>0</v>
      </c>
      <c r="P14" s="173">
        <f>IF($D14&gt;P$3,0,IF($E14*$G14&lt;$G14-SUM($J14:O14),$E14*$G14,$G14-SUM($J14:O14)))</f>
        <v>0</v>
      </c>
    </row>
    <row r="15" spans="1:103" s="6" customFormat="1" ht="10.199999999999999" x14ac:dyDescent="0.2">
      <c r="A15" s="132"/>
      <c r="B15" s="185" t="str">
        <f>INPUTS!B26</f>
        <v>Inmv. Mat. 11</v>
      </c>
      <c r="C15" s="161">
        <f>INPUTS!C26</f>
        <v>0</v>
      </c>
      <c r="D15" s="161">
        <f>INPUTS!D26</f>
        <v>0</v>
      </c>
      <c r="E15" s="169">
        <f>INPUTS!E26</f>
        <v>0</v>
      </c>
      <c r="F15" s="169">
        <f>INPUTS!F26</f>
        <v>0</v>
      </c>
      <c r="G15" s="33">
        <f>C15*$H$2*(1+INPUTS!$C$8)^(D15-1)</f>
        <v>0</v>
      </c>
      <c r="H15" s="252">
        <f t="shared" si="1"/>
        <v>0</v>
      </c>
      <c r="J15" s="274">
        <f t="shared" si="2"/>
        <v>0</v>
      </c>
      <c r="K15" s="106">
        <f>IF($D15&gt;K$3,0,IF($E15*$G15&lt;$G15-SUM($J15:J15),$E15*$G15,$G15-SUM($J15:J15)))</f>
        <v>0</v>
      </c>
      <c r="L15" s="106">
        <f>IF($D15&gt;L$3,0,IF($E15*$G15&lt;$G15-SUM($J15:K15),$E15*$G15,$G15-SUM($J15:K15)))</f>
        <v>0</v>
      </c>
      <c r="M15" s="106">
        <f>IF($D15&gt;M$3,0,IF($E15*$G15&lt;$G15-SUM($J15:L15),$E15*$G15,$G15-SUM($J15:L15)))</f>
        <v>0</v>
      </c>
      <c r="N15" s="106">
        <f>IF($D15&gt;N$3,0,IF($E15*$G15&lt;$G15-SUM($J15:M15),$E15*$G15,$G15-SUM($J15:M15)))</f>
        <v>0</v>
      </c>
      <c r="O15" s="106">
        <f>IF($D15&gt;O$3,0,IF($E15*$G15&lt;$G15-SUM($J15:N15),$E15*$G15,$G15-SUM($J15:N15)))</f>
        <v>0</v>
      </c>
      <c r="P15" s="173">
        <f>IF($D15&gt;P$3,0,IF($E15*$G15&lt;$G15-SUM($J15:O15),$E15*$G15,$G15-SUM($J15:O15)))</f>
        <v>0</v>
      </c>
    </row>
    <row r="16" spans="1:103" s="6" customFormat="1" ht="10.199999999999999" x14ac:dyDescent="0.2">
      <c r="A16" s="132"/>
      <c r="B16" s="185" t="str">
        <f>INPUTS!B27</f>
        <v>Inmv. Mat. 12</v>
      </c>
      <c r="C16" s="161">
        <f>INPUTS!C27</f>
        <v>0</v>
      </c>
      <c r="D16" s="161">
        <f>INPUTS!D27</f>
        <v>0</v>
      </c>
      <c r="E16" s="169">
        <f>INPUTS!E27</f>
        <v>0</v>
      </c>
      <c r="F16" s="169">
        <f>INPUTS!F27</f>
        <v>0</v>
      </c>
      <c r="G16" s="33">
        <f>C16*$H$2*(1+INPUTS!$C$8)^(D16-1)</f>
        <v>0</v>
      </c>
      <c r="H16" s="252">
        <f t="shared" si="1"/>
        <v>0</v>
      </c>
      <c r="J16" s="274">
        <f t="shared" si="2"/>
        <v>0</v>
      </c>
      <c r="K16" s="106">
        <f>IF($D16&gt;K$3,0,IF($E16*$G16&lt;$G16-SUM($J16:J16),$E16*$G16,$G16-SUM($J16:J16)))</f>
        <v>0</v>
      </c>
      <c r="L16" s="106">
        <f>IF($D16&gt;L$3,0,IF($E16*$G16&lt;$G16-SUM($J16:K16),$E16*$G16,$G16-SUM($J16:K16)))</f>
        <v>0</v>
      </c>
      <c r="M16" s="106">
        <f>IF($D16&gt;M$3,0,IF($E16*$G16&lt;$G16-SUM($J16:L16),$E16*$G16,$G16-SUM($J16:L16)))</f>
        <v>0</v>
      </c>
      <c r="N16" s="106">
        <f>IF($D16&gt;N$3,0,IF($E16*$G16&lt;$G16-SUM($J16:M16),$E16*$G16,$G16-SUM($J16:M16)))</f>
        <v>0</v>
      </c>
      <c r="O16" s="106">
        <f>IF($D16&gt;O$3,0,IF($E16*$G16&lt;$G16-SUM($J16:N16),$E16*$G16,$G16-SUM($J16:N16)))</f>
        <v>0</v>
      </c>
      <c r="P16" s="173">
        <f>IF($D16&gt;P$3,0,IF($E16*$G16&lt;$G16-SUM($J16:O16),$E16*$G16,$G16-SUM($J16:O16)))</f>
        <v>0</v>
      </c>
    </row>
    <row r="17" spans="1:16" s="6" customFormat="1" ht="10.199999999999999" x14ac:dyDescent="0.2">
      <c r="A17" s="132"/>
      <c r="B17" s="185" t="str">
        <f>INPUTS!B28</f>
        <v>Inmv. Mat. 13</v>
      </c>
      <c r="C17" s="161">
        <f>INPUTS!C28</f>
        <v>0</v>
      </c>
      <c r="D17" s="161">
        <f>INPUTS!D28</f>
        <v>0</v>
      </c>
      <c r="E17" s="169">
        <f>INPUTS!E28</f>
        <v>0</v>
      </c>
      <c r="F17" s="169">
        <f>INPUTS!F28</f>
        <v>0</v>
      </c>
      <c r="G17" s="33">
        <f>C17*$H$2*(1+INPUTS!$C$8)^(D17-1)</f>
        <v>0</v>
      </c>
      <c r="H17" s="252">
        <f t="shared" si="1"/>
        <v>0</v>
      </c>
      <c r="J17" s="274">
        <f t="shared" si="2"/>
        <v>0</v>
      </c>
      <c r="K17" s="106">
        <f>IF($D17&gt;K$3,0,IF($E17*$G17&lt;$G17-SUM($J17:J17),$E17*$G17,$G17-SUM($J17:J17)))</f>
        <v>0</v>
      </c>
      <c r="L17" s="106">
        <f>IF($D17&gt;L$3,0,IF($E17*$G17&lt;$G17-SUM($J17:K17),$E17*$G17,$G17-SUM($J17:K17)))</f>
        <v>0</v>
      </c>
      <c r="M17" s="106">
        <f>IF($D17&gt;M$3,0,IF($E17*$G17&lt;$G17-SUM($J17:L17),$E17*$G17,$G17-SUM($J17:L17)))</f>
        <v>0</v>
      </c>
      <c r="N17" s="106">
        <f>IF($D17&gt;N$3,0,IF($E17*$G17&lt;$G17-SUM($J17:M17),$E17*$G17,$G17-SUM($J17:M17)))</f>
        <v>0</v>
      </c>
      <c r="O17" s="106">
        <f>IF($D17&gt;O$3,0,IF($E17*$G17&lt;$G17-SUM($J17:N17),$E17*$G17,$G17-SUM($J17:N17)))</f>
        <v>0</v>
      </c>
      <c r="P17" s="173">
        <f>IF($D17&gt;P$3,0,IF($E17*$G17&lt;$G17-SUM($J17:O17),$E17*$G17,$G17-SUM($J17:O17)))</f>
        <v>0</v>
      </c>
    </row>
    <row r="18" spans="1:16" s="6" customFormat="1" ht="10.199999999999999" x14ac:dyDescent="0.2">
      <c r="A18" s="132"/>
      <c r="B18" s="185" t="str">
        <f>INPUTS!B29</f>
        <v>Inmv. Mat. 14</v>
      </c>
      <c r="C18" s="161">
        <f>INPUTS!C29</f>
        <v>0</v>
      </c>
      <c r="D18" s="161">
        <f>INPUTS!D29</f>
        <v>0</v>
      </c>
      <c r="E18" s="169">
        <f>INPUTS!E29</f>
        <v>0</v>
      </c>
      <c r="F18" s="169">
        <f>INPUTS!F29</f>
        <v>0</v>
      </c>
      <c r="G18" s="33">
        <f>C18*$H$2*(1+INPUTS!$C$8)^(D18-1)</f>
        <v>0</v>
      </c>
      <c r="H18" s="252">
        <f t="shared" si="1"/>
        <v>0</v>
      </c>
      <c r="J18" s="274">
        <f t="shared" si="2"/>
        <v>0</v>
      </c>
      <c r="K18" s="106">
        <f>IF($D18&gt;K$3,0,IF($E18*$G18&lt;$G18-SUM($J18:J18),$E18*$G18,$G18-SUM($J18:J18)))</f>
        <v>0</v>
      </c>
      <c r="L18" s="106">
        <f>IF($D18&gt;L$3,0,IF($E18*$G18&lt;$G18-SUM($J18:K18),$E18*$G18,$G18-SUM($J18:K18)))</f>
        <v>0</v>
      </c>
      <c r="M18" s="106">
        <f>IF($D18&gt;M$3,0,IF($E18*$G18&lt;$G18-SUM($J18:L18),$E18*$G18,$G18-SUM($J18:L18)))</f>
        <v>0</v>
      </c>
      <c r="N18" s="106">
        <f>IF($D18&gt;N$3,0,IF($E18*$G18&lt;$G18-SUM($J18:M18),$E18*$G18,$G18-SUM($J18:M18)))</f>
        <v>0</v>
      </c>
      <c r="O18" s="106">
        <f>IF($D18&gt;O$3,0,IF($E18*$G18&lt;$G18-SUM($J18:N18),$E18*$G18,$G18-SUM($J18:N18)))</f>
        <v>0</v>
      </c>
      <c r="P18" s="173">
        <f>IF($D18&gt;P$3,0,IF($E18*$G18&lt;$G18-SUM($J18:O18),$E18*$G18,$G18-SUM($J18:O18)))</f>
        <v>0</v>
      </c>
    </row>
    <row r="19" spans="1:16" s="6" customFormat="1" ht="10.199999999999999" x14ac:dyDescent="0.2">
      <c r="A19" s="132"/>
      <c r="B19" s="185" t="str">
        <f>INPUTS!B30</f>
        <v>Inmv. Mat. 15</v>
      </c>
      <c r="C19" s="161">
        <f>INPUTS!C30</f>
        <v>0</v>
      </c>
      <c r="D19" s="161">
        <f>INPUTS!D30</f>
        <v>0</v>
      </c>
      <c r="E19" s="169">
        <f>INPUTS!E30</f>
        <v>0</v>
      </c>
      <c r="F19" s="169">
        <f>INPUTS!F30</f>
        <v>0</v>
      </c>
      <c r="G19" s="33">
        <f>C19*$H$2*(1+INPUTS!$C$8)^(D19-1)</f>
        <v>0</v>
      </c>
      <c r="H19" s="252">
        <f t="shared" si="1"/>
        <v>0</v>
      </c>
      <c r="J19" s="274">
        <f t="shared" si="2"/>
        <v>0</v>
      </c>
      <c r="K19" s="106">
        <f>IF($D19&gt;K$3,0,IF($E19*$G19&lt;$G19-SUM($J19:J19),$E19*$G19,$G19-SUM($J19:J19)))</f>
        <v>0</v>
      </c>
      <c r="L19" s="106">
        <f>IF($D19&gt;L$3,0,IF($E19*$G19&lt;$G19-SUM($J19:K19),$E19*$G19,$G19-SUM($J19:K19)))</f>
        <v>0</v>
      </c>
      <c r="M19" s="106">
        <f>IF($D19&gt;M$3,0,IF($E19*$G19&lt;$G19-SUM($J19:L19),$E19*$G19,$G19-SUM($J19:L19)))</f>
        <v>0</v>
      </c>
      <c r="N19" s="106">
        <f>IF($D19&gt;N$3,0,IF($E19*$G19&lt;$G19-SUM($J19:M19),$E19*$G19,$G19-SUM($J19:M19)))</f>
        <v>0</v>
      </c>
      <c r="O19" s="106">
        <f>IF($D19&gt;O$3,0,IF($E19*$G19&lt;$G19-SUM($J19:N19),$E19*$G19,$G19-SUM($J19:N19)))</f>
        <v>0</v>
      </c>
      <c r="P19" s="173">
        <f>IF($D19&gt;P$3,0,IF($E19*$G19&lt;$G19-SUM($J19:O19),$E19*$G19,$G19-SUM($J19:O19)))</f>
        <v>0</v>
      </c>
    </row>
    <row r="20" spans="1:16" s="6" customFormat="1" ht="10.199999999999999" x14ac:dyDescent="0.2">
      <c r="A20" s="132"/>
      <c r="B20" s="185" t="str">
        <f>INPUTS!B31</f>
        <v>Inmv. Mat. 16</v>
      </c>
      <c r="C20" s="161">
        <f>INPUTS!C31</f>
        <v>0</v>
      </c>
      <c r="D20" s="161">
        <f>INPUTS!D31</f>
        <v>0</v>
      </c>
      <c r="E20" s="169">
        <f>INPUTS!E31</f>
        <v>0</v>
      </c>
      <c r="F20" s="169">
        <f>INPUTS!F31</f>
        <v>0</v>
      </c>
      <c r="G20" s="33">
        <f>C20*$H$2*(1+INPUTS!$C$8)^(D20-1)</f>
        <v>0</v>
      </c>
      <c r="H20" s="252">
        <f t="shared" si="1"/>
        <v>0</v>
      </c>
      <c r="J20" s="274">
        <f t="shared" si="2"/>
        <v>0</v>
      </c>
      <c r="K20" s="106">
        <f>IF($D20&gt;K$3,0,IF($E20*$G20&lt;$G20-SUM($J20:J20),$E20*$G20,$G20-SUM($J20:J20)))</f>
        <v>0</v>
      </c>
      <c r="L20" s="106">
        <f>IF($D20&gt;L$3,0,IF($E20*$G20&lt;$G20-SUM($J20:K20),$E20*$G20,$G20-SUM($J20:K20)))</f>
        <v>0</v>
      </c>
      <c r="M20" s="106">
        <f>IF($D20&gt;M$3,0,IF($E20*$G20&lt;$G20-SUM($J20:L20),$E20*$G20,$G20-SUM($J20:L20)))</f>
        <v>0</v>
      </c>
      <c r="N20" s="106">
        <f>IF($D20&gt;N$3,0,IF($E20*$G20&lt;$G20-SUM($J20:M20),$E20*$G20,$G20-SUM($J20:M20)))</f>
        <v>0</v>
      </c>
      <c r="O20" s="106">
        <f>IF($D20&gt;O$3,0,IF($E20*$G20&lt;$G20-SUM($J20:N20),$E20*$G20,$G20-SUM($J20:N20)))</f>
        <v>0</v>
      </c>
      <c r="P20" s="173">
        <f>IF($D20&gt;P$3,0,IF($E20*$G20&lt;$G20-SUM($J20:O20),$E20*$G20,$G20-SUM($J20:O20)))</f>
        <v>0</v>
      </c>
    </row>
    <row r="21" spans="1:16" s="6" customFormat="1" ht="10.199999999999999" x14ac:dyDescent="0.2">
      <c r="A21" s="132"/>
      <c r="B21" s="185" t="str">
        <f>INPUTS!B32</f>
        <v>Inmv. Mat. 17</v>
      </c>
      <c r="C21" s="161">
        <f>INPUTS!C32</f>
        <v>0</v>
      </c>
      <c r="D21" s="161">
        <f>INPUTS!D32</f>
        <v>0</v>
      </c>
      <c r="E21" s="169">
        <f>INPUTS!E32</f>
        <v>0</v>
      </c>
      <c r="F21" s="169">
        <f>INPUTS!F32</f>
        <v>0</v>
      </c>
      <c r="G21" s="33">
        <f>C21*$H$2*(1+INPUTS!$C$8)^(D21-1)</f>
        <v>0</v>
      </c>
      <c r="H21" s="252">
        <f t="shared" si="1"/>
        <v>0</v>
      </c>
      <c r="J21" s="274">
        <f t="shared" si="2"/>
        <v>0</v>
      </c>
      <c r="K21" s="106">
        <f>IF($D21&gt;K$3,0,IF($E21*$G21&lt;$G21-SUM($J21:J21),$E21*$G21,$G21-SUM($J21:J21)))</f>
        <v>0</v>
      </c>
      <c r="L21" s="106">
        <f>IF($D21&gt;L$3,0,IF($E21*$G21&lt;$G21-SUM($J21:K21),$E21*$G21,$G21-SUM($J21:K21)))</f>
        <v>0</v>
      </c>
      <c r="M21" s="106">
        <f>IF($D21&gt;M$3,0,IF($E21*$G21&lt;$G21-SUM($J21:L21),$E21*$G21,$G21-SUM($J21:L21)))</f>
        <v>0</v>
      </c>
      <c r="N21" s="106">
        <f>IF($D21&gt;N$3,0,IF($E21*$G21&lt;$G21-SUM($J21:M21),$E21*$G21,$G21-SUM($J21:M21)))</f>
        <v>0</v>
      </c>
      <c r="O21" s="106">
        <f>IF($D21&gt;O$3,0,IF($E21*$G21&lt;$G21-SUM($J21:N21),$E21*$G21,$G21-SUM($J21:N21)))</f>
        <v>0</v>
      </c>
      <c r="P21" s="173">
        <f>IF($D21&gt;P$3,0,IF($E21*$G21&lt;$G21-SUM($J21:O21),$E21*$G21,$G21-SUM($J21:O21)))</f>
        <v>0</v>
      </c>
    </row>
    <row r="22" spans="1:16" s="6" customFormat="1" ht="10.199999999999999" x14ac:dyDescent="0.2">
      <c r="A22" s="132"/>
      <c r="B22" s="185" t="str">
        <f>INPUTS!B33</f>
        <v>Inmv. Mat. 18</v>
      </c>
      <c r="C22" s="161">
        <f>INPUTS!C33</f>
        <v>0</v>
      </c>
      <c r="D22" s="161">
        <f>INPUTS!D33</f>
        <v>0</v>
      </c>
      <c r="E22" s="169">
        <f>INPUTS!E33</f>
        <v>0</v>
      </c>
      <c r="F22" s="169">
        <f>INPUTS!F33</f>
        <v>0</v>
      </c>
      <c r="G22" s="33">
        <f>C22*$H$2*(1+INPUTS!$C$8)^(D22-1)</f>
        <v>0</v>
      </c>
      <c r="H22" s="252">
        <f t="shared" si="1"/>
        <v>0</v>
      </c>
      <c r="J22" s="274">
        <f t="shared" si="2"/>
        <v>0</v>
      </c>
      <c r="K22" s="106">
        <f>IF($D22&gt;K$3,0,IF($E22*$G22&lt;$G22-SUM($J22:J22),$E22*$G22,$G22-SUM($J22:J22)))</f>
        <v>0</v>
      </c>
      <c r="L22" s="106">
        <f>IF($D22&gt;L$3,0,IF($E22*$G22&lt;$G22-SUM($J22:K22),$E22*$G22,$G22-SUM($J22:K22)))</f>
        <v>0</v>
      </c>
      <c r="M22" s="106">
        <f>IF($D22&gt;M$3,0,IF($E22*$G22&lt;$G22-SUM($J22:L22),$E22*$G22,$G22-SUM($J22:L22)))</f>
        <v>0</v>
      </c>
      <c r="N22" s="106">
        <f>IF($D22&gt;N$3,0,IF($E22*$G22&lt;$G22-SUM($J22:M22),$E22*$G22,$G22-SUM($J22:M22)))</f>
        <v>0</v>
      </c>
      <c r="O22" s="106">
        <f>IF($D22&gt;O$3,0,IF($E22*$G22&lt;$G22-SUM($J22:N22),$E22*$G22,$G22-SUM($J22:N22)))</f>
        <v>0</v>
      </c>
      <c r="P22" s="173">
        <f>IF($D22&gt;P$3,0,IF($E22*$G22&lt;$G22-SUM($J22:O22),$E22*$G22,$G22-SUM($J22:O22)))</f>
        <v>0</v>
      </c>
    </row>
    <row r="23" spans="1:16" s="6" customFormat="1" ht="10.199999999999999" x14ac:dyDescent="0.2">
      <c r="A23" s="132"/>
      <c r="B23" s="185" t="str">
        <f>INPUTS!B34</f>
        <v>Inmv. Mat. 19</v>
      </c>
      <c r="C23" s="161">
        <f>INPUTS!C34</f>
        <v>0</v>
      </c>
      <c r="D23" s="161">
        <f>INPUTS!D34</f>
        <v>0</v>
      </c>
      <c r="E23" s="169">
        <f>INPUTS!E34</f>
        <v>0</v>
      </c>
      <c r="F23" s="169">
        <f>INPUTS!F34</f>
        <v>0</v>
      </c>
      <c r="G23" s="33">
        <f>C23*$H$2*(1+INPUTS!$C$8)^(D23-1)</f>
        <v>0</v>
      </c>
      <c r="H23" s="252">
        <f t="shared" si="1"/>
        <v>0</v>
      </c>
      <c r="J23" s="274">
        <f t="shared" si="2"/>
        <v>0</v>
      </c>
      <c r="K23" s="106">
        <f>IF($D23&gt;K$3,0,IF($E23*$G23&lt;$G23-SUM($J23:J23),$E23*$G23,$G23-SUM($J23:J23)))</f>
        <v>0</v>
      </c>
      <c r="L23" s="106">
        <f>IF($D23&gt;L$3,0,IF($E23*$G23&lt;$G23-SUM($J23:K23),$E23*$G23,$G23-SUM($J23:K23)))</f>
        <v>0</v>
      </c>
      <c r="M23" s="106">
        <f>IF($D23&gt;M$3,0,IF($E23*$G23&lt;$G23-SUM($J23:L23),$E23*$G23,$G23-SUM($J23:L23)))</f>
        <v>0</v>
      </c>
      <c r="N23" s="106">
        <f>IF($D23&gt;N$3,0,IF($E23*$G23&lt;$G23-SUM($J23:M23),$E23*$G23,$G23-SUM($J23:M23)))</f>
        <v>0</v>
      </c>
      <c r="O23" s="106">
        <f>IF($D23&gt;O$3,0,IF($E23*$G23&lt;$G23-SUM($J23:N23),$E23*$G23,$G23-SUM($J23:N23)))</f>
        <v>0</v>
      </c>
      <c r="P23" s="173">
        <f>IF($D23&gt;P$3,0,IF($E23*$G23&lt;$G23-SUM($J23:O23),$E23*$G23,$G23-SUM($J23:O23)))</f>
        <v>0</v>
      </c>
    </row>
    <row r="24" spans="1:16" s="6" customFormat="1" ht="10.199999999999999" x14ac:dyDescent="0.2">
      <c r="A24" s="132"/>
      <c r="B24" s="185" t="str">
        <f>INPUTS!B35</f>
        <v>Inmv. Mat. 20</v>
      </c>
      <c r="C24" s="161">
        <f>INPUTS!C35</f>
        <v>0</v>
      </c>
      <c r="D24" s="161">
        <f>INPUTS!D35</f>
        <v>0</v>
      </c>
      <c r="E24" s="169">
        <f>INPUTS!E35</f>
        <v>0</v>
      </c>
      <c r="F24" s="169">
        <f>INPUTS!F35</f>
        <v>0</v>
      </c>
      <c r="G24" s="33">
        <f>C24*$H$2*(1+INPUTS!$C$8)^(D24-1)</f>
        <v>0</v>
      </c>
      <c r="H24" s="252">
        <f t="shared" si="1"/>
        <v>0</v>
      </c>
      <c r="J24" s="274">
        <f t="shared" si="2"/>
        <v>0</v>
      </c>
      <c r="K24" s="106">
        <f>IF($D24&gt;K$3,0,IF($E24*$G24&lt;$G24-SUM($J24:J24),$E24*$G24,$G24-SUM($J24:J24)))</f>
        <v>0</v>
      </c>
      <c r="L24" s="106">
        <f>IF($D24&gt;L$3,0,IF($E24*$G24&lt;$G24-SUM($J24:K24),$E24*$G24,$G24-SUM($J24:K24)))</f>
        <v>0</v>
      </c>
      <c r="M24" s="106">
        <f>IF($D24&gt;M$3,0,IF($E24*$G24&lt;$G24-SUM($J24:L24),$E24*$G24,$G24-SUM($J24:L24)))</f>
        <v>0</v>
      </c>
      <c r="N24" s="106">
        <f>IF($D24&gt;N$3,0,IF($E24*$G24&lt;$G24-SUM($J24:M24),$E24*$G24,$G24-SUM($J24:M24)))</f>
        <v>0</v>
      </c>
      <c r="O24" s="106">
        <f>IF($D24&gt;O$3,0,IF($E24*$G24&lt;$G24-SUM($J24:N24),$E24*$G24,$G24-SUM($J24:N24)))</f>
        <v>0</v>
      </c>
      <c r="P24" s="173">
        <f>IF($D24&gt;P$3,0,IF($E24*$G24&lt;$G24-SUM($J24:O24),$E24*$G24,$G24-SUM($J24:O24)))</f>
        <v>0</v>
      </c>
    </row>
    <row r="25" spans="1:16" s="6" customFormat="1" ht="10.199999999999999" x14ac:dyDescent="0.2">
      <c r="A25" s="132"/>
      <c r="B25" s="54" t="str">
        <f>INPUTS!B36</f>
        <v>INMOVILIZADO INTANGIBLE</v>
      </c>
      <c r="C25" s="33"/>
      <c r="D25" s="33"/>
      <c r="E25" s="24"/>
      <c r="F25" s="24"/>
      <c r="G25" s="33"/>
      <c r="H25" s="252"/>
      <c r="J25" s="275"/>
      <c r="K25" s="276"/>
      <c r="L25" s="276"/>
      <c r="M25" s="276"/>
      <c r="N25" s="276"/>
      <c r="O25" s="276"/>
      <c r="P25" s="252"/>
    </row>
    <row r="26" spans="1:16" s="6" customFormat="1" ht="10.199999999999999" x14ac:dyDescent="0.2">
      <c r="A26" s="132"/>
      <c r="B26" s="185" t="str">
        <f>INPUTS!B37</f>
        <v>Inmv. Intang. 1</v>
      </c>
      <c r="C26" s="161">
        <f>INPUTS!C37</f>
        <v>0</v>
      </c>
      <c r="D26" s="161">
        <f>INPUTS!D37</f>
        <v>0</v>
      </c>
      <c r="E26" s="169">
        <f>INPUTS!E37</f>
        <v>0</v>
      </c>
      <c r="F26" s="169">
        <f>INPUTS!F37</f>
        <v>0</v>
      </c>
      <c r="G26" s="33">
        <f>C26*$H$2*(1+INPUTS!$C$8)^(D26-1)</f>
        <v>0</v>
      </c>
      <c r="H26" s="252">
        <f t="shared" ref="H26:H34" si="3">G26*F26</f>
        <v>0</v>
      </c>
      <c r="J26" s="274">
        <f t="shared" si="2"/>
        <v>0</v>
      </c>
      <c r="K26" s="106">
        <f>IF($D26&gt;K$3,0,IF($E26*$G26&lt;$G26-SUM($J26:J26),$E26*$G26,$G26-SUM($J26:J26)))</f>
        <v>0</v>
      </c>
      <c r="L26" s="106">
        <f>IF($D26&gt;L$3,0,IF($E26*$G26&lt;$G26-SUM($J26:K26),$E26*$G26,$G26-SUM($J26:K26)))</f>
        <v>0</v>
      </c>
      <c r="M26" s="106">
        <f>IF($D26&gt;M$3,0,IF($E26*$G26&lt;$G26-SUM($J26:L26),$E26*$G26,$G26-SUM($J26:L26)))</f>
        <v>0</v>
      </c>
      <c r="N26" s="106">
        <f>IF($D26&gt;N$3,0,IF($E26*$G26&lt;$G26-SUM($J26:M26),$E26*$G26,$G26-SUM($J26:M26)))</f>
        <v>0</v>
      </c>
      <c r="O26" s="106">
        <f>IF($D26&gt;O$3,0,IF($E26*$G26&lt;$G26-SUM($J26:N26),$E26*$G26,$G26-SUM($J26:N26)))</f>
        <v>0</v>
      </c>
      <c r="P26" s="173">
        <f>IF($D26&gt;P$3,0,IF($E26*$G26&lt;$G26-SUM($J26:O26),$E26*$G26,$G26-SUM($J26:O26)))</f>
        <v>0</v>
      </c>
    </row>
    <row r="27" spans="1:16" s="6" customFormat="1" ht="10.199999999999999" x14ac:dyDescent="0.2">
      <c r="A27" s="132"/>
      <c r="B27" s="185" t="str">
        <f>INPUTS!B38</f>
        <v>Inmv. Intang. 2</v>
      </c>
      <c r="C27" s="161">
        <f>INPUTS!C38</f>
        <v>0</v>
      </c>
      <c r="D27" s="161">
        <f>INPUTS!D38</f>
        <v>0</v>
      </c>
      <c r="E27" s="169">
        <f>INPUTS!E38</f>
        <v>0</v>
      </c>
      <c r="F27" s="169">
        <f>INPUTS!F38</f>
        <v>0</v>
      </c>
      <c r="G27" s="33">
        <f>C27*$H$2*(1+INPUTS!$C$8)^(D27-1)</f>
        <v>0</v>
      </c>
      <c r="H27" s="252">
        <f t="shared" si="3"/>
        <v>0</v>
      </c>
      <c r="J27" s="274">
        <f t="shared" si="2"/>
        <v>0</v>
      </c>
      <c r="K27" s="106">
        <f>IF($D27&gt;K$3,0,IF($E27*$G27&lt;$G27-SUM($J27:J27),$E27*$G27,$G27-SUM($J27:J27)))</f>
        <v>0</v>
      </c>
      <c r="L27" s="106">
        <f>IF($D27&gt;L$3,0,IF($E27*$G27&lt;$G27-SUM($J27:K27),$E27*$G27,$G27-SUM($J27:K27)))</f>
        <v>0</v>
      </c>
      <c r="M27" s="106">
        <f>IF($D27&gt;M$3,0,IF($E27*$G27&lt;$G27-SUM($J27:L27),$E27*$G27,$G27-SUM($J27:L27)))</f>
        <v>0</v>
      </c>
      <c r="N27" s="106">
        <f>IF($D27&gt;N$3,0,IF($E27*$G27&lt;$G27-SUM($J27:M27),$E27*$G27,$G27-SUM($J27:M27)))</f>
        <v>0</v>
      </c>
      <c r="O27" s="106">
        <f>IF($D27&gt;O$3,0,IF($E27*$G27&lt;$G27-SUM($J27:N27),$E27*$G27,$G27-SUM($J27:N27)))</f>
        <v>0</v>
      </c>
      <c r="P27" s="173">
        <f>IF($D27&gt;P$3,0,IF($E27*$G27&lt;$G27-SUM($J27:O27),$E27*$G27,$G27-SUM($J27:O27)))</f>
        <v>0</v>
      </c>
    </row>
    <row r="28" spans="1:16" s="6" customFormat="1" ht="10.199999999999999" x14ac:dyDescent="0.2">
      <c r="A28" s="132"/>
      <c r="B28" s="185" t="str">
        <f>INPUTS!B39</f>
        <v>Inmv. Intang. 3</v>
      </c>
      <c r="C28" s="161">
        <f>INPUTS!C39</f>
        <v>0</v>
      </c>
      <c r="D28" s="161">
        <f>INPUTS!D39</f>
        <v>0</v>
      </c>
      <c r="E28" s="169">
        <f>INPUTS!E39</f>
        <v>0</v>
      </c>
      <c r="F28" s="169">
        <f>INPUTS!F39</f>
        <v>0</v>
      </c>
      <c r="G28" s="33">
        <f>C28*$H$2*(1+INPUTS!$C$8)^(D28-1)</f>
        <v>0</v>
      </c>
      <c r="H28" s="252">
        <f t="shared" si="3"/>
        <v>0</v>
      </c>
      <c r="J28" s="274">
        <f t="shared" si="2"/>
        <v>0</v>
      </c>
      <c r="K28" s="106">
        <f>IF($D28&gt;K$3,0,IF($E28*$G28&lt;$G28-SUM($J28:J28),$E28*$G28,$G28-SUM($J28:J28)))</f>
        <v>0</v>
      </c>
      <c r="L28" s="106">
        <f>IF($D28&gt;L$3,0,IF($E28*$G28&lt;$G28-SUM($J28:K28),$E28*$G28,$G28-SUM($J28:K28)))</f>
        <v>0</v>
      </c>
      <c r="M28" s="106">
        <f>IF($D28&gt;M$3,0,IF($E28*$G28&lt;$G28-SUM($J28:L28),$E28*$G28,$G28-SUM($J28:L28)))</f>
        <v>0</v>
      </c>
      <c r="N28" s="106">
        <f>IF($D28&gt;N$3,0,IF($E28*$G28&lt;$G28-SUM($J28:M28),$E28*$G28,$G28-SUM($J28:M28)))</f>
        <v>0</v>
      </c>
      <c r="O28" s="106">
        <f>IF($D28&gt;O$3,0,IF($E28*$G28&lt;$G28-SUM($J28:N28),$E28*$G28,$G28-SUM($J28:N28)))</f>
        <v>0</v>
      </c>
      <c r="P28" s="173">
        <f>IF($D28&gt;P$3,0,IF($E28*$G28&lt;$G28-SUM($J28:O28),$E28*$G28,$G28-SUM($J28:O28)))</f>
        <v>0</v>
      </c>
    </row>
    <row r="29" spans="1:16" s="6" customFormat="1" ht="10.199999999999999" x14ac:dyDescent="0.2">
      <c r="A29" s="132"/>
      <c r="B29" s="185" t="str">
        <f>INPUTS!B40</f>
        <v>Inmv. Intang. 4</v>
      </c>
      <c r="C29" s="161">
        <f>INPUTS!C40</f>
        <v>0</v>
      </c>
      <c r="D29" s="161">
        <f>INPUTS!D40</f>
        <v>0</v>
      </c>
      <c r="E29" s="169">
        <f>INPUTS!E40</f>
        <v>0</v>
      </c>
      <c r="F29" s="169">
        <f>INPUTS!F40</f>
        <v>0</v>
      </c>
      <c r="G29" s="33">
        <f>C29*$H$2*(1+INPUTS!$C$8)^(D29-1)</f>
        <v>0</v>
      </c>
      <c r="H29" s="252">
        <f t="shared" si="3"/>
        <v>0</v>
      </c>
      <c r="J29" s="274">
        <f t="shared" si="2"/>
        <v>0</v>
      </c>
      <c r="K29" s="106">
        <f>IF($D29&gt;K$3,0,IF($E29*$G29&lt;$G29-SUM($J29:J29),$E29*$G29,$G29-SUM($J29:J29)))</f>
        <v>0</v>
      </c>
      <c r="L29" s="106">
        <f>IF($D29&gt;L$3,0,IF($E29*$G29&lt;$G29-SUM($J29:K29),$E29*$G29,$G29-SUM($J29:K29)))</f>
        <v>0</v>
      </c>
      <c r="M29" s="106">
        <f>IF($D29&gt;M$3,0,IF($E29*$G29&lt;$G29-SUM($J29:L29),$E29*$G29,$G29-SUM($J29:L29)))</f>
        <v>0</v>
      </c>
      <c r="N29" s="106">
        <f>IF($D29&gt;N$3,0,IF($E29*$G29&lt;$G29-SUM($J29:M29),$E29*$G29,$G29-SUM($J29:M29)))</f>
        <v>0</v>
      </c>
      <c r="O29" s="106">
        <f>IF($D29&gt;O$3,0,IF($E29*$G29&lt;$G29-SUM($J29:N29),$E29*$G29,$G29-SUM($J29:N29)))</f>
        <v>0</v>
      </c>
      <c r="P29" s="173">
        <f>IF($D29&gt;P$3,0,IF($E29*$G29&lt;$G29-SUM($J29:O29),$E29*$G29,$G29-SUM($J29:O29)))</f>
        <v>0</v>
      </c>
    </row>
    <row r="30" spans="1:16" s="6" customFormat="1" ht="10.199999999999999" x14ac:dyDescent="0.2">
      <c r="A30" s="132"/>
      <c r="B30" s="185" t="str">
        <f>INPUTS!B41</f>
        <v>Inmv. Intang. 5</v>
      </c>
      <c r="C30" s="161">
        <f>INPUTS!C41</f>
        <v>0</v>
      </c>
      <c r="D30" s="161">
        <f>INPUTS!D41</f>
        <v>0</v>
      </c>
      <c r="E30" s="169">
        <f>INPUTS!E41</f>
        <v>0</v>
      </c>
      <c r="F30" s="169">
        <f>INPUTS!F41</f>
        <v>0</v>
      </c>
      <c r="G30" s="33">
        <f>C30*$H$2*(1+INPUTS!$C$8)^(D30-1)</f>
        <v>0</v>
      </c>
      <c r="H30" s="252">
        <f t="shared" si="3"/>
        <v>0</v>
      </c>
      <c r="J30" s="274">
        <f t="shared" si="2"/>
        <v>0</v>
      </c>
      <c r="K30" s="106">
        <f>IF($D30&gt;K$3,0,IF($E30*$G30&lt;$G30-SUM($J30:J30),$E30*$G30,$G30-SUM($J30:J30)))</f>
        <v>0</v>
      </c>
      <c r="L30" s="106">
        <f>IF($D30&gt;L$3,0,IF($E30*$G30&lt;$G30-SUM($J30:K30),$E30*$G30,$G30-SUM($J30:K30)))</f>
        <v>0</v>
      </c>
      <c r="M30" s="106">
        <f>IF($D30&gt;M$3,0,IF($E30*$G30&lt;$G30-SUM($J30:L30),$E30*$G30,$G30-SUM($J30:L30)))</f>
        <v>0</v>
      </c>
      <c r="N30" s="106">
        <f>IF($D30&gt;N$3,0,IF($E30*$G30&lt;$G30-SUM($J30:M30),$E30*$G30,$G30-SUM($J30:M30)))</f>
        <v>0</v>
      </c>
      <c r="O30" s="106">
        <f>IF($D30&gt;O$3,0,IF($E30*$G30&lt;$G30-SUM($J30:N30),$E30*$G30,$G30-SUM($J30:N30)))</f>
        <v>0</v>
      </c>
      <c r="P30" s="173">
        <f>IF($D30&gt;P$3,0,IF($E30*$G30&lt;$G30-SUM($J30:O30),$E30*$G30,$G30-SUM($J30:O30)))</f>
        <v>0</v>
      </c>
    </row>
    <row r="31" spans="1:16" s="6" customFormat="1" ht="10.199999999999999" x14ac:dyDescent="0.2">
      <c r="A31" s="132"/>
      <c r="B31" s="185" t="str">
        <f>INPUTS!B42</f>
        <v>Inmv. Intang. 6</v>
      </c>
      <c r="C31" s="161">
        <f>INPUTS!C42</f>
        <v>0</v>
      </c>
      <c r="D31" s="161">
        <f>INPUTS!D42</f>
        <v>0</v>
      </c>
      <c r="E31" s="169">
        <f>INPUTS!E42</f>
        <v>0</v>
      </c>
      <c r="F31" s="169">
        <f>INPUTS!F42</f>
        <v>0</v>
      </c>
      <c r="G31" s="33">
        <f>C31*$H$2*(1+INPUTS!$C$8)^(D31-1)</f>
        <v>0</v>
      </c>
      <c r="H31" s="252">
        <f t="shared" si="3"/>
        <v>0</v>
      </c>
      <c r="J31" s="274">
        <f t="shared" si="2"/>
        <v>0</v>
      </c>
      <c r="K31" s="106">
        <f>IF($D31&gt;K$3,0,IF($E31*$G31&lt;$G31-SUM($J31:J31),$E31*$G31,$G31-SUM($J31:J31)))</f>
        <v>0</v>
      </c>
      <c r="L31" s="106">
        <f>IF($D31&gt;L$3,0,IF($E31*$G31&lt;$G31-SUM($J31:K31),$E31*$G31,$G31-SUM($J31:K31)))</f>
        <v>0</v>
      </c>
      <c r="M31" s="106">
        <f>IF($D31&gt;M$3,0,IF($E31*$G31&lt;$G31-SUM($J31:L31),$E31*$G31,$G31-SUM($J31:L31)))</f>
        <v>0</v>
      </c>
      <c r="N31" s="106">
        <f>IF($D31&gt;N$3,0,IF($E31*$G31&lt;$G31-SUM($J31:M31),$E31*$G31,$G31-SUM($J31:M31)))</f>
        <v>0</v>
      </c>
      <c r="O31" s="106">
        <f>IF($D31&gt;O$3,0,IF($E31*$G31&lt;$G31-SUM($J31:N31),$E31*$G31,$G31-SUM($J31:N31)))</f>
        <v>0</v>
      </c>
      <c r="P31" s="173">
        <f>IF($D31&gt;P$3,0,IF($E31*$G31&lt;$G31-SUM($J31:O31),$E31*$G31,$G31-SUM($J31:O31)))</f>
        <v>0</v>
      </c>
    </row>
    <row r="32" spans="1:16" s="6" customFormat="1" ht="10.199999999999999" x14ac:dyDescent="0.2">
      <c r="A32" s="132"/>
      <c r="B32" s="185" t="str">
        <f>INPUTS!B43</f>
        <v>Inmv. Intang. 7</v>
      </c>
      <c r="C32" s="161">
        <f>INPUTS!C43</f>
        <v>0</v>
      </c>
      <c r="D32" s="161">
        <f>INPUTS!D43</f>
        <v>0</v>
      </c>
      <c r="E32" s="169">
        <f>INPUTS!E43</f>
        <v>0</v>
      </c>
      <c r="F32" s="169">
        <f>INPUTS!F43</f>
        <v>0</v>
      </c>
      <c r="G32" s="33">
        <f>C32*$H$2*(1+INPUTS!$C$8)^(D32-1)</f>
        <v>0</v>
      </c>
      <c r="H32" s="252">
        <f t="shared" si="3"/>
        <v>0</v>
      </c>
      <c r="J32" s="274">
        <f t="shared" si="2"/>
        <v>0</v>
      </c>
      <c r="K32" s="106">
        <f>IF($D32&gt;K$3,0,IF($E32*$G32&lt;$G32-SUM($J32:J32),$E32*$G32,$G32-SUM($J32:J32)))</f>
        <v>0</v>
      </c>
      <c r="L32" s="106">
        <f>IF($D32&gt;L$3,0,IF($E32*$G32&lt;$G32-SUM($J32:K32),$E32*$G32,$G32-SUM($J32:K32)))</f>
        <v>0</v>
      </c>
      <c r="M32" s="106">
        <f>IF($D32&gt;M$3,0,IF($E32*$G32&lt;$G32-SUM($J32:L32),$E32*$G32,$G32-SUM($J32:L32)))</f>
        <v>0</v>
      </c>
      <c r="N32" s="106">
        <f>IF($D32&gt;N$3,0,IF($E32*$G32&lt;$G32-SUM($J32:M32),$E32*$G32,$G32-SUM($J32:M32)))</f>
        <v>0</v>
      </c>
      <c r="O32" s="106">
        <f>IF($D32&gt;O$3,0,IF($E32*$G32&lt;$G32-SUM($J32:N32),$E32*$G32,$G32-SUM($J32:N32)))</f>
        <v>0</v>
      </c>
      <c r="P32" s="173">
        <f>IF($D32&gt;P$3,0,IF($E32*$G32&lt;$G32-SUM($J32:O32),$E32*$G32,$G32-SUM($J32:O32)))</f>
        <v>0</v>
      </c>
    </row>
    <row r="33" spans="1:59" s="6" customFormat="1" ht="10.199999999999999" x14ac:dyDescent="0.2">
      <c r="A33" s="132"/>
      <c r="B33" s="185" t="str">
        <f>INPUTS!B44</f>
        <v>Inmv. Intang. 8</v>
      </c>
      <c r="C33" s="161">
        <f>INPUTS!C44</f>
        <v>0</v>
      </c>
      <c r="D33" s="161">
        <f>INPUTS!D44</f>
        <v>0</v>
      </c>
      <c r="E33" s="169">
        <f>INPUTS!E44</f>
        <v>0</v>
      </c>
      <c r="F33" s="169">
        <f>INPUTS!F44</f>
        <v>0</v>
      </c>
      <c r="G33" s="33">
        <f>C33*$H$2*(1+INPUTS!$C$8)^(D33-1)</f>
        <v>0</v>
      </c>
      <c r="H33" s="252">
        <f t="shared" si="3"/>
        <v>0</v>
      </c>
      <c r="J33" s="274">
        <f t="shared" si="2"/>
        <v>0</v>
      </c>
      <c r="K33" s="106">
        <f>IF($D33&gt;K$3,0,IF($E33*$G33&lt;$G33-SUM($J33:J33),$E33*$G33,$G33-SUM($J33:J33)))</f>
        <v>0</v>
      </c>
      <c r="L33" s="106">
        <f>IF($D33&gt;L$3,0,IF($E33*$G33&lt;$G33-SUM($J33:K33),$E33*$G33,$G33-SUM($J33:K33)))</f>
        <v>0</v>
      </c>
      <c r="M33" s="106">
        <f>IF($D33&gt;M$3,0,IF($E33*$G33&lt;$G33-SUM($J33:L33),$E33*$G33,$G33-SUM($J33:L33)))</f>
        <v>0</v>
      </c>
      <c r="N33" s="106">
        <f>IF($D33&gt;N$3,0,IF($E33*$G33&lt;$G33-SUM($J33:M33),$E33*$G33,$G33-SUM($J33:M33)))</f>
        <v>0</v>
      </c>
      <c r="O33" s="106">
        <f>IF($D33&gt;O$3,0,IF($E33*$G33&lt;$G33-SUM($J33:N33),$E33*$G33,$G33-SUM($J33:N33)))</f>
        <v>0</v>
      </c>
      <c r="P33" s="173">
        <f>IF($D33&gt;P$3,0,IF($E33*$G33&lt;$G33-SUM($J33:O33),$E33*$G33,$G33-SUM($J33:O33)))</f>
        <v>0</v>
      </c>
    </row>
    <row r="34" spans="1:59" s="6" customFormat="1" ht="10.199999999999999" x14ac:dyDescent="0.2">
      <c r="A34" s="132"/>
      <c r="B34" s="185" t="str">
        <f>INPUTS!B45</f>
        <v>Inmv. Intang. 9</v>
      </c>
      <c r="C34" s="161">
        <f>INPUTS!C45</f>
        <v>0</v>
      </c>
      <c r="D34" s="161">
        <f>INPUTS!D45</f>
        <v>0</v>
      </c>
      <c r="E34" s="169">
        <f>INPUTS!E45</f>
        <v>0</v>
      </c>
      <c r="F34" s="169">
        <f>INPUTS!F45</f>
        <v>0</v>
      </c>
      <c r="G34" s="33">
        <f>C34*$H$2*(1+INPUTS!$C$8)^(D34-1)</f>
        <v>0</v>
      </c>
      <c r="H34" s="252">
        <f t="shared" si="3"/>
        <v>0</v>
      </c>
      <c r="J34" s="274">
        <f t="shared" si="2"/>
        <v>0</v>
      </c>
      <c r="K34" s="106">
        <f>IF($D34&gt;K$3,0,IF($E34*$G34&lt;$G34-SUM($J34:J34),$E34*$G34,$G34-SUM($J34:J34)))</f>
        <v>0</v>
      </c>
      <c r="L34" s="106">
        <f>IF($D34&gt;L$3,0,IF($E34*$G34&lt;$G34-SUM($J34:K34),$E34*$G34,$G34-SUM($J34:K34)))</f>
        <v>0</v>
      </c>
      <c r="M34" s="106">
        <f>IF($D34&gt;M$3,0,IF($E34*$G34&lt;$G34-SUM($J34:L34),$E34*$G34,$G34-SUM($J34:L34)))</f>
        <v>0</v>
      </c>
      <c r="N34" s="106">
        <f>IF($D34&gt;N$3,0,IF($E34*$G34&lt;$G34-SUM($J34:M34),$E34*$G34,$G34-SUM($J34:M34)))</f>
        <v>0</v>
      </c>
      <c r="O34" s="106">
        <f>IF($D34&gt;O$3,0,IF($E34*$G34&lt;$G34-SUM($J34:N34),$E34*$G34,$G34-SUM($J34:N34)))</f>
        <v>0</v>
      </c>
      <c r="P34" s="173">
        <f>IF($D34&gt;P$3,0,IF($E34*$G34&lt;$G34-SUM($J34:O34),$E34*$G34,$G34-SUM($J34:O34)))</f>
        <v>0</v>
      </c>
    </row>
    <row r="35" spans="1:59" s="6" customFormat="1" ht="10.199999999999999" x14ac:dyDescent="0.2">
      <c r="A35" s="132"/>
      <c r="B35" s="185" t="str">
        <f>INPUTS!B46</f>
        <v>Inmv. Intang. 10</v>
      </c>
      <c r="C35" s="161">
        <f>INPUTS!C46</f>
        <v>0</v>
      </c>
      <c r="D35" s="161">
        <f>INPUTS!D46</f>
        <v>0</v>
      </c>
      <c r="E35" s="169">
        <f>INPUTS!E46</f>
        <v>0</v>
      </c>
      <c r="F35" s="169">
        <f>INPUTS!F46</f>
        <v>0</v>
      </c>
      <c r="G35" s="33">
        <f>C35*$H$2*(1+INPUTS!$C$8)^(D35-1)</f>
        <v>0</v>
      </c>
      <c r="H35" s="252">
        <f>G35*F35</f>
        <v>0</v>
      </c>
      <c r="J35" s="274">
        <f t="shared" ref="J35:J41" si="4">IF(D35&gt;$J$3,0,E35*G35)</f>
        <v>0</v>
      </c>
      <c r="K35" s="106">
        <f>IF($D35&gt;K$3,0,IF($E35*$G35&lt;$G35-SUM($J35:J35),$E35*$G35,$G35-SUM($J35:J35)))</f>
        <v>0</v>
      </c>
      <c r="L35" s="106">
        <f>IF($D35&gt;L$3,0,IF($E35*$G35&lt;$G35-SUM($J35:K35),$E35*$G35,$G35-SUM($J35:K35)))</f>
        <v>0</v>
      </c>
      <c r="M35" s="106">
        <f>IF($D35&gt;M$3,0,IF($E35*$G35&lt;$G35-SUM($J35:L35),$E35*$G35,$G35-SUM($J35:L35)))</f>
        <v>0</v>
      </c>
      <c r="N35" s="106">
        <f>IF($D35&gt;N$3,0,IF($E35*$G35&lt;$G35-SUM($J35:M35),$E35*$G35,$G35-SUM($J35:M35)))</f>
        <v>0</v>
      </c>
      <c r="O35" s="106">
        <f>IF($D35&gt;O$3,0,IF($E35*$G35&lt;$G35-SUM($J35:N35),$E35*$G35,$G35-SUM($J35:N35)))</f>
        <v>0</v>
      </c>
      <c r="P35" s="173">
        <f>IF($D35&gt;P$3,0,IF($E35*$G35&lt;$G35-SUM($J35:O35),$E35*$G35,$G35-SUM($J35:O35)))</f>
        <v>0</v>
      </c>
    </row>
    <row r="36" spans="1:59" s="6" customFormat="1" ht="10.199999999999999" x14ac:dyDescent="0.2">
      <c r="A36" s="132"/>
      <c r="B36" s="185" t="s">
        <v>116</v>
      </c>
      <c r="C36" s="161">
        <f>INCO!D52</f>
        <v>0</v>
      </c>
      <c r="D36" s="161">
        <v>2</v>
      </c>
      <c r="E36" s="169">
        <v>0.2</v>
      </c>
      <c r="F36" s="169"/>
      <c r="G36" s="33">
        <f t="shared" ref="G36:G42" si="5">C36</f>
        <v>0</v>
      </c>
      <c r="H36" s="186"/>
      <c r="J36" s="274">
        <f t="shared" si="4"/>
        <v>0</v>
      </c>
      <c r="K36" s="106">
        <f>IF($D36&gt;K$3,0,IF($E36*$G36&lt;$G36-SUM($J36:J36),$E36*$G36,$G36-SUM($J36:J36)))</f>
        <v>0</v>
      </c>
      <c r="L36" s="106">
        <f>IF($D36&gt;L$3,0,IF($E36*$G36&lt;$G36-SUM($J36:K36),$E36*$G36,$G36-SUM($J36:K36)))</f>
        <v>0</v>
      </c>
      <c r="M36" s="106">
        <f>IF($D36&gt;M$3,0,IF($E36*$G36&lt;$G36-SUM($J36:L36),$E36*$G36,$G36-SUM($J36:L36)))</f>
        <v>0</v>
      </c>
      <c r="N36" s="106">
        <f>IF($D36&gt;N$3,0,IF($E36*$G36&lt;$G36-SUM($J36:M36),$E36*$G36,$G36-SUM($J36:M36)))</f>
        <v>0</v>
      </c>
      <c r="O36" s="106">
        <f>IF($D36&gt;O$3,0,IF($E36*$G36&lt;$G36-SUM($J36:N36),$E36*$G36,$G36-SUM($J36:N36)))</f>
        <v>0</v>
      </c>
      <c r="P36" s="173">
        <f>IF($D36&gt;P$3,0,IF($E36*$G36&lt;$G36-SUM($J36:O36),$E36*$G36,$G36-SUM($J36:O36)))</f>
        <v>0</v>
      </c>
    </row>
    <row r="37" spans="1:59" s="6" customFormat="1" ht="10.199999999999999" x14ac:dyDescent="0.2">
      <c r="A37" s="132"/>
      <c r="B37" s="185" t="s">
        <v>117</v>
      </c>
      <c r="C37" s="161">
        <f>INCO!E52</f>
        <v>0</v>
      </c>
      <c r="D37" s="161">
        <v>3</v>
      </c>
      <c r="E37" s="169">
        <v>0.2</v>
      </c>
      <c r="F37" s="169"/>
      <c r="G37" s="33">
        <f t="shared" si="5"/>
        <v>0</v>
      </c>
      <c r="H37" s="186"/>
      <c r="J37" s="274">
        <f t="shared" si="4"/>
        <v>0</v>
      </c>
      <c r="K37" s="106">
        <f>IF($D37&gt;K$3,0,IF($E37*$G37&lt;$G37-SUM($J37:J37),$E37*$G37,$G37-SUM($J37:J37)))</f>
        <v>0</v>
      </c>
      <c r="L37" s="106">
        <f>IF($D37&gt;L$3,0,IF($E37*$G37&lt;$G37-SUM($J37:K37),$E37*$G37,$G37-SUM($J37:K37)))</f>
        <v>0</v>
      </c>
      <c r="M37" s="106">
        <f>IF($D37&gt;M$3,0,IF($E37*$G37&lt;$G37-SUM($J37:L37),$E37*$G37,$G37-SUM($J37:L37)))</f>
        <v>0</v>
      </c>
      <c r="N37" s="106">
        <f>IF($D37&gt;N$3,0,IF($E37*$G37&lt;$G37-SUM($J37:M37),$E37*$G37,$G37-SUM($J37:M37)))</f>
        <v>0</v>
      </c>
      <c r="O37" s="106">
        <f>IF($D37&gt;O$3,0,IF($E37*$G37&lt;$G37-SUM($J37:N37),$E37*$G37,$G37-SUM($J37:N37)))</f>
        <v>0</v>
      </c>
      <c r="P37" s="173">
        <f>IF($D37&gt;P$3,0,IF($E37*$G37&lt;$G37-SUM($J37:O37),$E37*$G37,$G37-SUM($J37:O37)))</f>
        <v>0</v>
      </c>
    </row>
    <row r="38" spans="1:59" s="6" customFormat="1" ht="10.199999999999999" x14ac:dyDescent="0.2">
      <c r="A38" s="132"/>
      <c r="B38" s="185" t="s">
        <v>118</v>
      </c>
      <c r="C38" s="161">
        <f>INCO!F52</f>
        <v>0</v>
      </c>
      <c r="D38" s="161">
        <v>4</v>
      </c>
      <c r="E38" s="169">
        <v>0.2</v>
      </c>
      <c r="F38" s="169"/>
      <c r="G38" s="33">
        <f t="shared" si="5"/>
        <v>0</v>
      </c>
      <c r="H38" s="186"/>
      <c r="J38" s="274">
        <f t="shared" si="4"/>
        <v>0</v>
      </c>
      <c r="K38" s="106">
        <f>IF($D38&gt;K$3,0,IF($E38*$G38&lt;$G38-SUM($J38:J38),$E38*$G38,$G38-SUM($J38:J38)))</f>
        <v>0</v>
      </c>
      <c r="L38" s="106">
        <f>IF($D38&gt;L$3,0,IF($E38*$G38&lt;$G38-SUM($J38:K38),$E38*$G38,$G38-SUM($J38:K38)))</f>
        <v>0</v>
      </c>
      <c r="M38" s="106">
        <f>IF($D38&gt;M$3,0,IF($E38*$G38&lt;$G38-SUM($J38:L38),$E38*$G38,$G38-SUM($J38:L38)))</f>
        <v>0</v>
      </c>
      <c r="N38" s="106">
        <f>IF($D38&gt;N$3,0,IF($E38*$G38&lt;$G38-SUM($J38:M38),$E38*$G38,$G38-SUM($J38:M38)))</f>
        <v>0</v>
      </c>
      <c r="O38" s="106">
        <f>IF($D38&gt;O$3,0,IF($E38*$G38&lt;$G38-SUM($J38:N38),$E38*$G38,$G38-SUM($J38:N38)))</f>
        <v>0</v>
      </c>
      <c r="P38" s="173">
        <f>IF($D38&gt;P$3,0,IF($E38*$G38&lt;$G38-SUM($J38:O38),$E38*$G38,$G38-SUM($J38:O38)))</f>
        <v>0</v>
      </c>
    </row>
    <row r="39" spans="1:59" s="6" customFormat="1" ht="10.199999999999999" x14ac:dyDescent="0.2">
      <c r="A39" s="132"/>
      <c r="B39" s="185" t="s">
        <v>119</v>
      </c>
      <c r="C39" s="161">
        <f>INCO!G52</f>
        <v>0</v>
      </c>
      <c r="D39" s="161">
        <v>5</v>
      </c>
      <c r="E39" s="169">
        <v>0.2</v>
      </c>
      <c r="F39" s="169"/>
      <c r="G39" s="33">
        <f t="shared" si="5"/>
        <v>0</v>
      </c>
      <c r="H39" s="186"/>
      <c r="J39" s="274">
        <f t="shared" si="4"/>
        <v>0</v>
      </c>
      <c r="K39" s="106">
        <f>IF($D39&gt;K$3,0,IF($E39*$G39&lt;$G39-SUM($J39:J39),$E39*$G39,$G39-SUM($J39:J39)))</f>
        <v>0</v>
      </c>
      <c r="L39" s="106">
        <f>IF($D39&gt;L$3,0,IF($E39*$G39&lt;$G39-SUM($J39:K39),$E39*$G39,$G39-SUM($J39:K39)))</f>
        <v>0</v>
      </c>
      <c r="M39" s="106">
        <f>IF($D39&gt;M$3,0,IF($E39*$G39&lt;$G39-SUM($J39:L39),$E39*$G39,$G39-SUM($J39:L39)))</f>
        <v>0</v>
      </c>
      <c r="N39" s="106">
        <f>IF($D39&gt;N$3,0,IF($E39*$G39&lt;$G39-SUM($J39:M39),$E39*$G39,$G39-SUM($J39:M39)))</f>
        <v>0</v>
      </c>
      <c r="O39" s="106">
        <f>IF($D39&gt;O$3,0,IF($E39*$G39&lt;$G39-SUM($J39:N39),$E39*$G39,$G39-SUM($J39:N39)))</f>
        <v>0</v>
      </c>
      <c r="P39" s="173">
        <f>IF($D39&gt;P$3,0,IF($E39*$G39&lt;$G39-SUM($J39:O39),$E39*$G39,$G39-SUM($J39:O39)))</f>
        <v>0</v>
      </c>
    </row>
    <row r="40" spans="1:59" s="6" customFormat="1" ht="10.199999999999999" x14ac:dyDescent="0.2">
      <c r="A40" s="132"/>
      <c r="B40" s="185" t="s">
        <v>120</v>
      </c>
      <c r="C40" s="161">
        <f>INCO!H52</f>
        <v>0</v>
      </c>
      <c r="D40" s="161">
        <v>6</v>
      </c>
      <c r="E40" s="169">
        <v>0.2</v>
      </c>
      <c r="F40" s="169"/>
      <c r="G40" s="33">
        <f t="shared" si="5"/>
        <v>0</v>
      </c>
      <c r="H40" s="186"/>
      <c r="J40" s="274">
        <f t="shared" si="4"/>
        <v>0</v>
      </c>
      <c r="K40" s="106">
        <f>IF($D40&gt;K$3,0,IF($E40*$G40&lt;$G40-SUM($J40:J40),$E40*$G40,$G40-SUM($J40:J40)))</f>
        <v>0</v>
      </c>
      <c r="L40" s="106">
        <f>IF($D40&gt;L$3,0,IF($E40*$G40&lt;$G40-SUM($J40:K40),$E40*$G40,$G40-SUM($J40:K40)))</f>
        <v>0</v>
      </c>
      <c r="M40" s="106">
        <f>IF($D40&gt;M$3,0,IF($E40*$G40&lt;$G40-SUM($J40:L40),$E40*$G40,$G40-SUM($J40:L40)))</f>
        <v>0</v>
      </c>
      <c r="N40" s="106">
        <f>IF($D40&gt;N$3,0,IF($E40*$G40&lt;$G40-SUM($J40:M40),$E40*$G40,$G40-SUM($J40:M40)))</f>
        <v>0</v>
      </c>
      <c r="O40" s="106">
        <f>IF($D40&gt;O$3,0,IF($E40*$G40&lt;$G40-SUM($J40:N40),$E40*$G40,$G40-SUM($J40:N40)))</f>
        <v>0</v>
      </c>
      <c r="P40" s="173">
        <f>IF($D40&gt;P$3,0,IF($E40*$G40&lt;$G40-SUM($J40:O40),$E40*$G40,$G40-SUM($J40:O40)))</f>
        <v>0</v>
      </c>
    </row>
    <row r="41" spans="1:59" s="6" customFormat="1" ht="10.199999999999999" x14ac:dyDescent="0.2">
      <c r="A41" s="132"/>
      <c r="B41" s="185" t="s">
        <v>121</v>
      </c>
      <c r="C41" s="161">
        <f>INCO!I52</f>
        <v>0</v>
      </c>
      <c r="D41" s="161">
        <v>7</v>
      </c>
      <c r="E41" s="169">
        <v>0.2</v>
      </c>
      <c r="F41" s="169"/>
      <c r="G41" s="33">
        <f t="shared" si="5"/>
        <v>0</v>
      </c>
      <c r="H41" s="186"/>
      <c r="J41" s="274">
        <f t="shared" si="4"/>
        <v>0</v>
      </c>
      <c r="K41" s="106">
        <f>IF($D41&gt;K$3,0,IF($E41*$G41&lt;$G41-SUM($J41:J41),$E41*$G41,$G41-SUM($J41:J41)))</f>
        <v>0</v>
      </c>
      <c r="L41" s="106">
        <f>IF($D41&gt;L$3,0,IF($E41*$G41&lt;$G41-SUM($J41:K41),$E41*$G41,$G41-SUM($J41:K41)))</f>
        <v>0</v>
      </c>
      <c r="M41" s="106">
        <f>IF($D41&gt;M$3,0,IF($E41*$G41&lt;$G41-SUM($J41:L41),$E41*$G41,$G41-SUM($J41:L41)))</f>
        <v>0</v>
      </c>
      <c r="N41" s="106">
        <f>IF($D41&gt;N$3,0,IF($E41*$G41&lt;$G41-SUM($J41:M41),$E41*$G41,$G41-SUM($J41:M41)))</f>
        <v>0</v>
      </c>
      <c r="O41" s="106">
        <f>IF($D41&gt;O$3,0,IF($E41*$G41&lt;$G41-SUM($J41:N41),$E41*$G41,$G41-SUM($J41:N41)))</f>
        <v>0</v>
      </c>
      <c r="P41" s="173">
        <f>IF($D41&gt;P$3,0,IF($E41*$G41&lt;$G41-SUM($J41:O41),$E41*$G41,$G41-SUM($J41:O41)))</f>
        <v>0</v>
      </c>
    </row>
    <row r="42" spans="1:59" s="6" customFormat="1" ht="10.8" thickBot="1" x14ac:dyDescent="0.25">
      <c r="A42" s="132"/>
      <c r="B42" s="187" t="s">
        <v>122</v>
      </c>
      <c r="C42" s="361">
        <f>INCO!J52</f>
        <v>0</v>
      </c>
      <c r="D42" s="361">
        <v>8</v>
      </c>
      <c r="E42" s="188">
        <v>0.2</v>
      </c>
      <c r="F42" s="188"/>
      <c r="G42" s="189">
        <f t="shared" si="5"/>
        <v>0</v>
      </c>
      <c r="H42" s="83"/>
      <c r="J42" s="277">
        <f t="shared" si="2"/>
        <v>0</v>
      </c>
      <c r="K42" s="182">
        <f>IF($D42&gt;K$3,0,IF($E42*$G42&lt;$G42-SUM($J42:J42),$E42*$G42,$G42-SUM($J42:J42)))</f>
        <v>0</v>
      </c>
      <c r="L42" s="182">
        <f>IF($D42&gt;L$3,0,IF($E42*$G42&lt;$G42-SUM($J42:K42),$E42*$G42,$G42-SUM($J42:K42)))</f>
        <v>0</v>
      </c>
      <c r="M42" s="182">
        <f>IF($D42&gt;M$3,0,IF($E42*$G42&lt;$G42-SUM($J42:L42),$E42*$G42,$G42-SUM($J42:L42)))</f>
        <v>0</v>
      </c>
      <c r="N42" s="182">
        <f>IF($D42&gt;N$3,0,IF($E42*$G42&lt;$G42-SUM($J42:M42),$E42*$G42,$G42-SUM($J42:M42)))</f>
        <v>0</v>
      </c>
      <c r="O42" s="182">
        <f>IF($D42&gt;O$3,0,IF($E42*$G42&lt;$G42-SUM($J42:N42),$E42*$G42,$G42-SUM($J42:N42)))</f>
        <v>0</v>
      </c>
      <c r="P42" s="183">
        <f>IF($D42&gt;P$3,0,IF($E42*$G42&lt;$G42-SUM($J42:O42),$E42*$G42,$G42-SUM($J42:O42)))</f>
        <v>0</v>
      </c>
    </row>
    <row r="43" spans="1:59" s="21" customFormat="1" ht="10.199999999999999" x14ac:dyDescent="0.2">
      <c r="A43" s="3"/>
      <c r="B43" s="54"/>
      <c r="C43" s="23"/>
      <c r="D43" s="22"/>
      <c r="E43" s="22"/>
      <c r="F43" s="22"/>
      <c r="G43" s="22"/>
      <c r="H43" s="22"/>
      <c r="I43" s="22"/>
      <c r="J43" s="124"/>
      <c r="K43" s="124"/>
      <c r="L43" s="124"/>
      <c r="M43" s="124"/>
      <c r="N43" s="124"/>
      <c r="O43" s="124"/>
      <c r="P43" s="193"/>
      <c r="Q43" s="6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</row>
    <row r="44" spans="1:59" s="14" customFormat="1" ht="10.199999999999999" x14ac:dyDescent="0.2">
      <c r="A44" s="3"/>
      <c r="B44" s="56"/>
      <c r="C44" s="25"/>
      <c r="I44" s="25"/>
      <c r="J44" s="109"/>
      <c r="K44" s="109"/>
      <c r="L44" s="109"/>
      <c r="M44" s="109"/>
      <c r="N44" s="109"/>
      <c r="O44" s="109"/>
      <c r="P44" s="278"/>
      <c r="Q44" s="6"/>
    </row>
    <row r="45" spans="1:59" s="21" customFormat="1" ht="10.199999999999999" x14ac:dyDescent="0.2">
      <c r="A45" s="3"/>
      <c r="B45" s="131"/>
      <c r="C45" s="25"/>
      <c r="D45" s="14"/>
      <c r="E45" s="14"/>
      <c r="F45" s="14"/>
      <c r="G45" s="14"/>
      <c r="H45" s="14"/>
      <c r="I45" s="25" t="s">
        <v>123</v>
      </c>
      <c r="J45" s="115">
        <f>SUM(J5:J24)</f>
        <v>0</v>
      </c>
      <c r="K45" s="115">
        <f t="shared" ref="K45:P45" si="6">SUM(K5:K24)</f>
        <v>0</v>
      </c>
      <c r="L45" s="115">
        <f t="shared" si="6"/>
        <v>0</v>
      </c>
      <c r="M45" s="115">
        <f t="shared" si="6"/>
        <v>0</v>
      </c>
      <c r="N45" s="115">
        <f t="shared" si="6"/>
        <v>0</v>
      </c>
      <c r="O45" s="115">
        <f t="shared" si="6"/>
        <v>0</v>
      </c>
      <c r="P45" s="279">
        <f t="shared" si="6"/>
        <v>0</v>
      </c>
      <c r="Q45" s="20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</row>
    <row r="46" spans="1:59" s="21" customFormat="1" ht="10.199999999999999" x14ac:dyDescent="0.2">
      <c r="A46" s="3"/>
      <c r="B46" s="131"/>
      <c r="C46" s="25"/>
      <c r="D46" s="14"/>
      <c r="E46" s="14"/>
      <c r="F46" s="14"/>
      <c r="G46" s="14"/>
      <c r="H46" s="14"/>
      <c r="I46" s="25" t="s">
        <v>32</v>
      </c>
      <c r="J46" s="115">
        <f>SUM(J26:J42)</f>
        <v>0</v>
      </c>
      <c r="K46" s="115">
        <f t="shared" ref="K46:P46" si="7">SUM(K26:K42)</f>
        <v>0</v>
      </c>
      <c r="L46" s="115">
        <f t="shared" si="7"/>
        <v>0</v>
      </c>
      <c r="M46" s="115">
        <f t="shared" si="7"/>
        <v>0</v>
      </c>
      <c r="N46" s="115">
        <f t="shared" si="7"/>
        <v>0</v>
      </c>
      <c r="O46" s="115">
        <f t="shared" si="7"/>
        <v>0</v>
      </c>
      <c r="P46" s="279">
        <f t="shared" si="7"/>
        <v>0</v>
      </c>
      <c r="Q46" s="20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</row>
    <row r="47" spans="1:59" ht="12.75" customHeight="1" thickBot="1" x14ac:dyDescent="0.25">
      <c r="B47" s="57"/>
      <c r="C47" s="40"/>
      <c r="D47" s="58"/>
      <c r="E47" s="58"/>
      <c r="F47" s="8"/>
      <c r="G47" s="8"/>
      <c r="H47" s="59"/>
      <c r="I47" s="97" t="s">
        <v>11</v>
      </c>
      <c r="J47" s="189">
        <f t="shared" ref="J47:P47" si="8">SUM(J45:J46)</f>
        <v>0</v>
      </c>
      <c r="K47" s="189">
        <f t="shared" si="8"/>
        <v>0</v>
      </c>
      <c r="L47" s="189">
        <f t="shared" si="8"/>
        <v>0</v>
      </c>
      <c r="M47" s="189">
        <f t="shared" si="8"/>
        <v>0</v>
      </c>
      <c r="N47" s="189">
        <f t="shared" si="8"/>
        <v>0</v>
      </c>
      <c r="O47" s="189">
        <f t="shared" si="8"/>
        <v>0</v>
      </c>
      <c r="P47" s="280">
        <f t="shared" si="8"/>
        <v>0</v>
      </c>
      <c r="Q47" s="20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2"/>
      <c r="AY47" s="12"/>
      <c r="AZ47" s="12"/>
      <c r="BA47" s="12"/>
      <c r="BB47" s="12"/>
      <c r="BC47" s="12"/>
      <c r="BD47" s="12"/>
      <c r="BE47" s="12"/>
      <c r="BF47" s="12"/>
      <c r="BG47" s="12"/>
    </row>
    <row r="48" spans="1:59" ht="12.75" customHeight="1" x14ac:dyDescent="0.2">
      <c r="B48" s="6"/>
      <c r="C48" s="6"/>
      <c r="D48" s="6"/>
      <c r="E48" s="6"/>
      <c r="F48" s="6"/>
      <c r="G48" s="6"/>
      <c r="H48" s="6"/>
      <c r="I48" s="6"/>
      <c r="J48" s="212"/>
      <c r="K48" s="212"/>
      <c r="L48" s="212"/>
      <c r="M48" s="212"/>
      <c r="N48" s="212"/>
      <c r="O48" s="212"/>
      <c r="P48" s="212"/>
      <c r="Q48" s="20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2"/>
      <c r="AY48" s="12"/>
      <c r="AZ48" s="12"/>
      <c r="BA48" s="12"/>
      <c r="BB48" s="12"/>
      <c r="BC48" s="12"/>
      <c r="BD48" s="12"/>
      <c r="BE48" s="12"/>
      <c r="BF48" s="12"/>
      <c r="BG48" s="12"/>
    </row>
    <row r="49" spans="1:59" ht="10.199999999999999" x14ac:dyDescent="0.2">
      <c r="C49" s="3"/>
      <c r="F49" s="3"/>
      <c r="G49" s="3"/>
      <c r="H49" s="3"/>
      <c r="I49" s="19"/>
      <c r="Q49" s="3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2"/>
      <c r="AY49" s="12"/>
      <c r="AZ49" s="12"/>
      <c r="BA49" s="12"/>
      <c r="BB49" s="12"/>
      <c r="BC49" s="12"/>
      <c r="BD49" s="12"/>
      <c r="BE49" s="12"/>
      <c r="BF49" s="12"/>
      <c r="BG49" s="12"/>
    </row>
    <row r="50" spans="1:59" s="122" customFormat="1" x14ac:dyDescent="0.25">
      <c r="D50" s="102" t="s">
        <v>29</v>
      </c>
      <c r="E50" s="102"/>
      <c r="F50" s="9"/>
      <c r="G50" s="9"/>
      <c r="H50" s="135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123"/>
      <c r="AY50" s="123"/>
    </row>
    <row r="51" spans="1:59" s="122" customFormat="1" ht="10.8" thickBot="1" x14ac:dyDescent="0.25"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123"/>
      <c r="AY51" s="123"/>
    </row>
    <row r="52" spans="1:59" s="11" customFormat="1" ht="10.8" thickBot="1" x14ac:dyDescent="0.25">
      <c r="A52" s="122"/>
      <c r="B52" s="133"/>
      <c r="C52" s="281">
        <f>J3</f>
        <v>1</v>
      </c>
      <c r="D52" s="281">
        <f>C52+1</f>
        <v>2</v>
      </c>
      <c r="E52" s="281">
        <f t="shared" ref="E52:J52" si="9">D52+1</f>
        <v>3</v>
      </c>
      <c r="F52" s="281">
        <f t="shared" si="9"/>
        <v>4</v>
      </c>
      <c r="G52" s="281">
        <f t="shared" si="9"/>
        <v>5</v>
      </c>
      <c r="H52" s="281">
        <f t="shared" si="9"/>
        <v>6</v>
      </c>
      <c r="I52" s="281">
        <f t="shared" si="9"/>
        <v>7</v>
      </c>
      <c r="J52" s="285">
        <f t="shared" si="9"/>
        <v>8</v>
      </c>
      <c r="K52" s="122"/>
      <c r="L52" s="122"/>
      <c r="M52" s="122"/>
      <c r="N52" s="122"/>
      <c r="O52" s="122"/>
      <c r="P52" s="122"/>
      <c r="Q52" s="1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99"/>
      <c r="AY52" s="99"/>
    </row>
    <row r="53" spans="1:59" ht="10.199999999999999" x14ac:dyDescent="0.2">
      <c r="A53" s="122"/>
      <c r="B53" s="54" t="str">
        <f>B4</f>
        <v>INMOVILIZADO MATERIAL</v>
      </c>
      <c r="C53" s="106">
        <f>SUMIF($D$5:$D$24,C$52,$G$5:$G$24)</f>
        <v>0</v>
      </c>
      <c r="D53" s="106">
        <f t="shared" ref="D53:J53" si="10">SUMIF($D$5:$D$24,D$52,$G$5:$G$24)</f>
        <v>0</v>
      </c>
      <c r="E53" s="106">
        <f t="shared" si="10"/>
        <v>0</v>
      </c>
      <c r="F53" s="106">
        <f t="shared" si="10"/>
        <v>0</v>
      </c>
      <c r="G53" s="106">
        <f t="shared" si="10"/>
        <v>0</v>
      </c>
      <c r="H53" s="106">
        <f t="shared" si="10"/>
        <v>0</v>
      </c>
      <c r="I53" s="106">
        <f t="shared" si="10"/>
        <v>0</v>
      </c>
      <c r="J53" s="173">
        <f t="shared" si="10"/>
        <v>0</v>
      </c>
      <c r="Q53" s="1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</row>
    <row r="54" spans="1:59" ht="10.199999999999999" x14ac:dyDescent="0.2">
      <c r="A54" s="122"/>
      <c r="B54" s="54" t="str">
        <f>B25</f>
        <v>INMOVILIZADO INTANGIBLE</v>
      </c>
      <c r="C54" s="106">
        <f>SUMIF($D$26:$D$42,C$52,$G$26:$G$42)</f>
        <v>0</v>
      </c>
      <c r="D54" s="106">
        <f t="shared" ref="D54:J54" si="11">SUMIF($D$26:$D$42,D$52,$G$26:$G$42)</f>
        <v>0</v>
      </c>
      <c r="E54" s="106">
        <f t="shared" si="11"/>
        <v>0</v>
      </c>
      <c r="F54" s="106">
        <f t="shared" si="11"/>
        <v>0</v>
      </c>
      <c r="G54" s="106">
        <f t="shared" si="11"/>
        <v>0</v>
      </c>
      <c r="H54" s="106">
        <f t="shared" si="11"/>
        <v>0</v>
      </c>
      <c r="I54" s="106">
        <f t="shared" si="11"/>
        <v>0</v>
      </c>
      <c r="J54" s="173">
        <f t="shared" si="11"/>
        <v>0</v>
      </c>
      <c r="Q54" s="1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</row>
    <row r="55" spans="1:59" s="11" customFormat="1" ht="10.8" thickBot="1" x14ac:dyDescent="0.25">
      <c r="A55" s="122"/>
      <c r="B55" s="134" t="s">
        <v>16</v>
      </c>
      <c r="C55" s="282">
        <f t="shared" ref="C55:I55" si="12">SUM(C53:C54)</f>
        <v>0</v>
      </c>
      <c r="D55" s="282">
        <f t="shared" si="12"/>
        <v>0</v>
      </c>
      <c r="E55" s="282">
        <f t="shared" si="12"/>
        <v>0</v>
      </c>
      <c r="F55" s="282">
        <f t="shared" si="12"/>
        <v>0</v>
      </c>
      <c r="G55" s="282">
        <f t="shared" si="12"/>
        <v>0</v>
      </c>
      <c r="H55" s="282">
        <f t="shared" si="12"/>
        <v>0</v>
      </c>
      <c r="I55" s="282">
        <f t="shared" si="12"/>
        <v>0</v>
      </c>
      <c r="J55" s="286">
        <f>SUM(J53:J54)</f>
        <v>0</v>
      </c>
      <c r="K55" s="122"/>
      <c r="L55" s="122"/>
      <c r="M55" s="122"/>
      <c r="N55" s="122"/>
      <c r="O55" s="122"/>
      <c r="P55" s="122"/>
      <c r="Q55" s="1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</row>
    <row r="56" spans="1:59" ht="13.8" thickBot="1" x14ac:dyDescent="0.3">
      <c r="A56" s="122"/>
      <c r="C56" s="122"/>
      <c r="D56" s="122"/>
      <c r="E56" s="122"/>
      <c r="F56" s="130"/>
      <c r="G56" s="130"/>
      <c r="H56" s="130"/>
      <c r="I56" s="123"/>
      <c r="J56" s="123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</row>
    <row r="57" spans="1:59" ht="10.8" thickBot="1" x14ac:dyDescent="0.25">
      <c r="A57" s="122"/>
      <c r="B57" s="133" t="s">
        <v>15</v>
      </c>
      <c r="C57" s="283">
        <f>SUMIF($D$5:$D$42,C$52,$H$5:$H$42)</f>
        <v>0</v>
      </c>
      <c r="D57" s="283">
        <f t="shared" ref="D57:J57" si="13">SUMIF($D$5:$D$42,D$52,$H$5:$H$42)</f>
        <v>0</v>
      </c>
      <c r="E57" s="283">
        <f t="shared" si="13"/>
        <v>0</v>
      </c>
      <c r="F57" s="283">
        <f t="shared" si="13"/>
        <v>0</v>
      </c>
      <c r="G57" s="283">
        <f t="shared" si="13"/>
        <v>0</v>
      </c>
      <c r="H57" s="283">
        <f t="shared" si="13"/>
        <v>0</v>
      </c>
      <c r="I57" s="283">
        <f t="shared" si="13"/>
        <v>0</v>
      </c>
      <c r="J57" s="287">
        <f t="shared" si="13"/>
        <v>0</v>
      </c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</row>
    <row r="58" spans="1:59" x14ac:dyDescent="0.25"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</row>
    <row r="59" spans="1:59" x14ac:dyDescent="0.25"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</row>
    <row r="60" spans="1:59" x14ac:dyDescent="0.25"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</row>
    <row r="61" spans="1:59" x14ac:dyDescent="0.25"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</row>
    <row r="62" spans="1:59" x14ac:dyDescent="0.25"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</row>
    <row r="63" spans="1:59" x14ac:dyDescent="0.25"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</row>
    <row r="64" spans="1:59" x14ac:dyDescent="0.25"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</row>
    <row r="65" spans="18:49" x14ac:dyDescent="0.25"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</row>
    <row r="66" spans="18:49" x14ac:dyDescent="0.25"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</row>
    <row r="67" spans="18:49" x14ac:dyDescent="0.25"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</row>
    <row r="68" spans="18:49" x14ac:dyDescent="0.25"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</row>
    <row r="69" spans="18:49" x14ac:dyDescent="0.25"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</row>
    <row r="70" spans="18:49" x14ac:dyDescent="0.25"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</row>
    <row r="71" spans="18:49" x14ac:dyDescent="0.25"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</row>
    <row r="72" spans="18:49" x14ac:dyDescent="0.25"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</row>
    <row r="73" spans="18:49" x14ac:dyDescent="0.25"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</row>
    <row r="74" spans="18:49" x14ac:dyDescent="0.25"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</row>
  </sheetData>
  <customSheetViews>
    <customSheetView guid="{D4D7EB23-CC17-11D2-866F-0020AFB54048}" showRuler="0" topLeftCell="G1">
      <selection activeCell="I2" sqref="I2"/>
      <pageMargins left="0.25" right="0.25" top="1.1299999999999999" bottom="0.91" header="0.25" footer="0.26"/>
      <printOptions headings="1"/>
      <pageSetup paperSize="9" orientation="landscape" horizontalDpi="300" verticalDpi="300" r:id="rId1"/>
      <headerFooter alignWithMargins="0">
        <oddHeader>&amp;A</oddHeader>
        <oddFooter>&amp;LMODELEVA&amp;CDEPTO.ECONOMIA FINANCIERA&amp;RUNIVERSIDAD DE SANTIAGO</oddFooter>
      </headerFooter>
    </customSheetView>
    <customSheetView guid="{D4D7EB24-CC17-11D2-866F-0020AFB54048}" showRuler="0" topLeftCell="G1">
      <selection activeCell="I2" sqref="I2"/>
      <pageMargins left="0.25" right="0.25" top="1.1299999999999999" bottom="0.91" header="0.25" footer="0.26"/>
      <printOptions headings="1"/>
      <pageSetup paperSize="9" orientation="landscape" horizontalDpi="300" verticalDpi="300" r:id="rId2"/>
      <headerFooter alignWithMargins="0">
        <oddHeader>&amp;A</oddHeader>
        <oddFooter>&amp;LMODELEVA&amp;CDEPTO.ECONOMIA FINANCIERA&amp;RUNIVERSIDAD DE SANTIAGO</oddFooter>
      </headerFooter>
    </customSheetView>
  </customSheetViews>
  <phoneticPr fontId="4" type="noConversion"/>
  <dataValidations count="8">
    <dataValidation type="whole" allowBlank="1" showInputMessage="1" showErrorMessage="1" sqref="D36">
      <formula1>2</formula1>
      <formula2>2</formula2>
    </dataValidation>
    <dataValidation type="whole" allowBlank="1" showInputMessage="1" showErrorMessage="1" sqref="D37">
      <formula1>3</formula1>
      <formula2>3</formula2>
    </dataValidation>
    <dataValidation type="whole" allowBlank="1" showInputMessage="1" showErrorMessage="1" sqref="D38">
      <formula1>4</formula1>
      <formula2>4</formula2>
    </dataValidation>
    <dataValidation type="whole" allowBlank="1" showInputMessage="1" showErrorMessage="1" sqref="D39">
      <formula1>5</formula1>
      <formula2>5</formula2>
    </dataValidation>
    <dataValidation type="whole" allowBlank="1" showInputMessage="1" showErrorMessage="1" sqref="D40">
      <formula1>6</formula1>
      <formula2>6</formula2>
    </dataValidation>
    <dataValidation type="whole" allowBlank="1" showInputMessage="1" showErrorMessage="1" sqref="D41">
      <formula1>7</formula1>
      <formula2>7</formula2>
    </dataValidation>
    <dataValidation type="whole" allowBlank="1" showInputMessage="1" showErrorMessage="1" sqref="D42">
      <formula1>8</formula1>
      <formula2>8</formula2>
    </dataValidation>
    <dataValidation type="decimal" allowBlank="1" showInputMessage="1" showErrorMessage="1" sqref="E36:E42">
      <formula1>0.2</formula1>
      <formula2>0.2</formula2>
    </dataValidation>
  </dataValidations>
  <printOptions headings="1"/>
  <pageMargins left="0.34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drawing r:id="rId4"/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>
    <pageSetUpPr autoPageBreaks="0"/>
  </sheetPr>
  <dimension ref="A1:CC129"/>
  <sheetViews>
    <sheetView showGridLines="0" zoomScaleNormal="100" workbookViewId="0">
      <pane ySplit="4" topLeftCell="A5" activePane="bottomLeft" state="frozen"/>
      <selection pane="bottomLeft" activeCell="G23" sqref="G23"/>
    </sheetView>
  </sheetViews>
  <sheetFormatPr baseColWidth="10" defaultColWidth="11.44140625" defaultRowHeight="10.199999999999999" outlineLevelRow="1" x14ac:dyDescent="0.2"/>
  <cols>
    <col min="1" max="1" width="5.6640625" style="15" customWidth="1"/>
    <col min="2" max="2" width="32.21875" style="2" customWidth="1"/>
    <col min="3" max="11" width="7.21875" style="2" customWidth="1"/>
    <col min="12" max="12" width="12.44140625" style="2" customWidth="1"/>
    <col min="13" max="81" width="11.44140625" style="15"/>
    <col min="82" max="16384" width="11.44140625" style="2"/>
  </cols>
  <sheetData>
    <row r="1" spans="1:81" x14ac:dyDescent="0.2">
      <c r="B1" s="25" t="s">
        <v>224</v>
      </c>
      <c r="C1" s="388">
        <f>RIESGO!C9</f>
        <v>1</v>
      </c>
    </row>
    <row r="2" spans="1:81" ht="10.8" thickBot="1" x14ac:dyDescent="0.25">
      <c r="B2" s="25" t="s">
        <v>225</v>
      </c>
      <c r="C2" s="388">
        <f>RIESGO!C8*EQUILIBRIO!B16</f>
        <v>1</v>
      </c>
    </row>
    <row r="3" spans="1:81" ht="10.8" thickBot="1" x14ac:dyDescent="0.25">
      <c r="B3" s="25" t="s">
        <v>226</v>
      </c>
      <c r="C3" s="388">
        <f>RIESGO!C11</f>
        <v>1</v>
      </c>
      <c r="F3" s="339" t="str">
        <f>INVERSIONES!B3</f>
        <v>Escenario  Base</v>
      </c>
      <c r="G3" s="346"/>
    </row>
    <row r="4" spans="1:81" s="140" customFormat="1" x14ac:dyDescent="0.2">
      <c r="B4" s="25" t="s">
        <v>227</v>
      </c>
      <c r="C4" s="388">
        <f>RIESGO!$C$10</f>
        <v>1</v>
      </c>
      <c r="D4" s="113">
        <f>INVERSIONES!J3</f>
        <v>1</v>
      </c>
      <c r="E4" s="113">
        <f t="shared" ref="E4:K4" si="0">D4+1</f>
        <v>2</v>
      </c>
      <c r="F4" s="113">
        <f t="shared" si="0"/>
        <v>3</v>
      </c>
      <c r="G4" s="113">
        <f t="shared" si="0"/>
        <v>4</v>
      </c>
      <c r="H4" s="113">
        <f t="shared" si="0"/>
        <v>5</v>
      </c>
      <c r="I4" s="113">
        <f t="shared" si="0"/>
        <v>6</v>
      </c>
      <c r="J4" s="113">
        <f t="shared" si="0"/>
        <v>7</v>
      </c>
      <c r="K4" s="113">
        <f t="shared" si="0"/>
        <v>8</v>
      </c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9"/>
    </row>
    <row r="5" spans="1:81" x14ac:dyDescent="0.2">
      <c r="C5" s="122" t="s">
        <v>33</v>
      </c>
      <c r="J5" s="15"/>
      <c r="K5" s="15"/>
      <c r="L5" s="94"/>
    </row>
    <row r="6" spans="1:81" x14ac:dyDescent="0.2">
      <c r="B6" s="1" t="s">
        <v>2</v>
      </c>
      <c r="C6" s="154">
        <f>INPUTS!C8</f>
        <v>0</v>
      </c>
      <c r="D6" s="93">
        <f>C6</f>
        <v>0</v>
      </c>
      <c r="E6" s="93">
        <f t="shared" ref="E6:K6" si="1">D6</f>
        <v>0</v>
      </c>
      <c r="F6" s="93">
        <f t="shared" si="1"/>
        <v>0</v>
      </c>
      <c r="G6" s="93">
        <f t="shared" si="1"/>
        <v>0</v>
      </c>
      <c r="H6" s="93">
        <f t="shared" si="1"/>
        <v>0</v>
      </c>
      <c r="I6" s="93">
        <f t="shared" si="1"/>
        <v>0</v>
      </c>
      <c r="J6" s="93">
        <f t="shared" si="1"/>
        <v>0</v>
      </c>
      <c r="K6" s="93">
        <f t="shared" si="1"/>
        <v>0</v>
      </c>
      <c r="L6" s="94"/>
    </row>
    <row r="7" spans="1:81" x14ac:dyDescent="0.2">
      <c r="C7" s="1" t="s">
        <v>207</v>
      </c>
      <c r="D7" s="103">
        <v>1</v>
      </c>
      <c r="E7" s="104">
        <f>D7*(1+D6)</f>
        <v>1</v>
      </c>
      <c r="F7" s="104">
        <f t="shared" ref="F7:K7" si="2">E7*(1+E6)</f>
        <v>1</v>
      </c>
      <c r="G7" s="104">
        <f t="shared" si="2"/>
        <v>1</v>
      </c>
      <c r="H7" s="104">
        <f t="shared" si="2"/>
        <v>1</v>
      </c>
      <c r="I7" s="104">
        <f t="shared" si="2"/>
        <v>1</v>
      </c>
      <c r="J7" s="104">
        <f t="shared" si="2"/>
        <v>1</v>
      </c>
      <c r="K7" s="104">
        <f t="shared" si="2"/>
        <v>1</v>
      </c>
      <c r="L7" s="94"/>
    </row>
    <row r="8" spans="1:81" s="12" customFormat="1" x14ac:dyDescent="0.2">
      <c r="A8" s="14"/>
      <c r="B8" s="303" t="s">
        <v>7</v>
      </c>
      <c r="C8" s="14"/>
      <c r="D8" s="14"/>
      <c r="E8" s="14"/>
      <c r="F8" s="14"/>
      <c r="G8" s="14"/>
      <c r="H8" s="14"/>
      <c r="I8" s="14"/>
      <c r="J8" s="14"/>
      <c r="K8" s="14"/>
      <c r="L8" s="94"/>
      <c r="M8" s="87"/>
      <c r="N8" s="87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</row>
    <row r="9" spans="1:81" s="3" customFormat="1" outlineLevel="1" x14ac:dyDescent="0.2">
      <c r="A9" s="14"/>
      <c r="B9" s="84" t="s">
        <v>0</v>
      </c>
      <c r="C9" s="113" t="s">
        <v>33</v>
      </c>
      <c r="D9" s="113">
        <f t="shared" ref="D9:K9" si="3">D4</f>
        <v>1</v>
      </c>
      <c r="E9" s="113">
        <f t="shared" si="3"/>
        <v>2</v>
      </c>
      <c r="F9" s="113">
        <f t="shared" si="3"/>
        <v>3</v>
      </c>
      <c r="G9" s="113">
        <f t="shared" si="3"/>
        <v>4</v>
      </c>
      <c r="H9" s="113">
        <f t="shared" si="3"/>
        <v>5</v>
      </c>
      <c r="I9" s="113">
        <f t="shared" si="3"/>
        <v>6</v>
      </c>
      <c r="J9" s="113">
        <f t="shared" si="3"/>
        <v>7</v>
      </c>
      <c r="K9" s="113">
        <f t="shared" si="3"/>
        <v>8</v>
      </c>
      <c r="L9" s="94"/>
      <c r="M9" s="87"/>
      <c r="N9" s="87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</row>
    <row r="10" spans="1:81" s="12" customFormat="1" outlineLevel="1" x14ac:dyDescent="0.2">
      <c r="A10" s="14"/>
      <c r="B10" s="23" t="str">
        <f>INPUTS!C59</f>
        <v>Linea A</v>
      </c>
      <c r="D10" s="87"/>
      <c r="E10" s="87"/>
      <c r="F10" s="87"/>
      <c r="G10" s="87"/>
      <c r="H10" s="87"/>
      <c r="I10" s="87"/>
      <c r="J10" s="87"/>
      <c r="K10" s="87"/>
      <c r="L10" s="94"/>
      <c r="M10" s="87"/>
      <c r="N10" s="87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</row>
    <row r="11" spans="1:81" s="17" customFormat="1" outlineLevel="1" x14ac:dyDescent="0.2">
      <c r="A11" s="25"/>
      <c r="B11" s="84" t="s">
        <v>130</v>
      </c>
      <c r="C11" s="152">
        <f>INPUTS!C60</f>
        <v>0</v>
      </c>
      <c r="D11" s="105">
        <f t="shared" ref="D11:J11" si="4">D13*D12</f>
        <v>0</v>
      </c>
      <c r="E11" s="105">
        <f t="shared" si="4"/>
        <v>0</v>
      </c>
      <c r="F11" s="105">
        <f t="shared" si="4"/>
        <v>0</v>
      </c>
      <c r="G11" s="105">
        <f t="shared" si="4"/>
        <v>0</v>
      </c>
      <c r="H11" s="105">
        <f t="shared" si="4"/>
        <v>0</v>
      </c>
      <c r="I11" s="105">
        <f t="shared" si="4"/>
        <v>0</v>
      </c>
      <c r="J11" s="105">
        <f t="shared" si="4"/>
        <v>0</v>
      </c>
      <c r="K11" s="105">
        <f>K13*K12</f>
        <v>0</v>
      </c>
      <c r="L11" s="94"/>
      <c r="M11" s="116"/>
      <c r="N11" s="116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</row>
    <row r="12" spans="1:81" outlineLevel="1" x14ac:dyDescent="0.2">
      <c r="B12" s="84" t="s">
        <v>59</v>
      </c>
      <c r="C12" s="153">
        <f>INPUTS!C61*C1</f>
        <v>0</v>
      </c>
      <c r="D12" s="106">
        <f>$C12*D$7</f>
        <v>0</v>
      </c>
      <c r="E12" s="106">
        <f t="shared" ref="E12:K12" si="5">$C12*E$7</f>
        <v>0</v>
      </c>
      <c r="F12" s="106">
        <f t="shared" si="5"/>
        <v>0</v>
      </c>
      <c r="G12" s="106">
        <f t="shared" si="5"/>
        <v>0</v>
      </c>
      <c r="H12" s="106">
        <f t="shared" si="5"/>
        <v>0</v>
      </c>
      <c r="I12" s="106">
        <f t="shared" si="5"/>
        <v>0</v>
      </c>
      <c r="J12" s="106">
        <f t="shared" si="5"/>
        <v>0</v>
      </c>
      <c r="K12" s="106">
        <f t="shared" si="5"/>
        <v>0</v>
      </c>
      <c r="L12" s="94"/>
      <c r="M12" s="116"/>
      <c r="N12" s="116"/>
    </row>
    <row r="13" spans="1:81" outlineLevel="1" x14ac:dyDescent="0.2">
      <c r="A13" s="34"/>
      <c r="B13" s="84" t="s">
        <v>131</v>
      </c>
      <c r="C13" s="155">
        <f>INPUTS!C62*C2</f>
        <v>0</v>
      </c>
      <c r="D13" s="106">
        <f t="shared" ref="D13:K13" si="6">IF(D$9&lt;$C11,0,IF(D$9=$C11,$C13,C13*(1+D15)))</f>
        <v>0</v>
      </c>
      <c r="E13" s="106">
        <f t="shared" si="6"/>
        <v>0</v>
      </c>
      <c r="F13" s="106">
        <f t="shared" si="6"/>
        <v>0</v>
      </c>
      <c r="G13" s="106">
        <f t="shared" si="6"/>
        <v>0</v>
      </c>
      <c r="H13" s="106">
        <f t="shared" si="6"/>
        <v>0</v>
      </c>
      <c r="I13" s="106">
        <f t="shared" si="6"/>
        <v>0</v>
      </c>
      <c r="J13" s="106">
        <f t="shared" si="6"/>
        <v>0</v>
      </c>
      <c r="K13" s="106">
        <f t="shared" si="6"/>
        <v>0</v>
      </c>
      <c r="L13" s="94"/>
      <c r="M13" s="106"/>
      <c r="N13" s="106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</row>
    <row r="14" spans="1:81" outlineLevel="1" x14ac:dyDescent="0.2">
      <c r="B14" s="84" t="s">
        <v>61</v>
      </c>
      <c r="C14" s="13"/>
      <c r="D14" s="114"/>
      <c r="E14" s="93">
        <f t="array" ref="E14:J14">TRANSPOSE(INPUTS!C63:C68)</f>
        <v>0</v>
      </c>
      <c r="F14" s="93">
        <v>0</v>
      </c>
      <c r="G14" s="93">
        <v>0</v>
      </c>
      <c r="H14" s="93">
        <v>0</v>
      </c>
      <c r="I14" s="93">
        <v>0</v>
      </c>
      <c r="J14" s="93">
        <v>0</v>
      </c>
      <c r="K14" s="93"/>
      <c r="L14" s="94"/>
      <c r="M14" s="116"/>
      <c r="N14" s="116"/>
    </row>
    <row r="15" spans="1:81" outlineLevel="1" x14ac:dyDescent="0.2">
      <c r="A15" s="13"/>
      <c r="B15" s="13"/>
      <c r="C15" s="13"/>
      <c r="D15" s="114"/>
      <c r="E15" s="50">
        <f t="shared" ref="E15:J15" si="7">IF(D13=0,0,E14*$C$3)</f>
        <v>0</v>
      </c>
      <c r="F15" s="50">
        <f t="shared" si="7"/>
        <v>0</v>
      </c>
      <c r="G15" s="50">
        <f t="shared" si="7"/>
        <v>0</v>
      </c>
      <c r="H15" s="50">
        <f t="shared" si="7"/>
        <v>0</v>
      </c>
      <c r="I15" s="50">
        <f t="shared" si="7"/>
        <v>0</v>
      </c>
      <c r="J15" s="50">
        <f t="shared" si="7"/>
        <v>0</v>
      </c>
      <c r="K15" s="50">
        <f>INPUTS!$C$11*$C$3</f>
        <v>0</v>
      </c>
      <c r="L15" s="94"/>
      <c r="M15" s="116"/>
      <c r="N15" s="116"/>
    </row>
    <row r="16" spans="1:81" s="13" customFormat="1" outlineLevel="1" x14ac:dyDescent="0.2">
      <c r="A16" s="85"/>
      <c r="B16" s="23" t="str">
        <f>INPUTS!D59</f>
        <v>Linea B</v>
      </c>
      <c r="D16" s="115"/>
      <c r="E16" s="115"/>
      <c r="F16" s="115"/>
      <c r="G16" s="115"/>
      <c r="H16" s="115"/>
      <c r="I16" s="115"/>
      <c r="J16" s="115"/>
      <c r="K16" s="115"/>
      <c r="L16" s="94"/>
      <c r="M16" s="116"/>
      <c r="N16" s="116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</row>
    <row r="17" spans="1:81" s="17" customFormat="1" outlineLevel="1" x14ac:dyDescent="0.2">
      <c r="A17" s="15"/>
      <c r="B17" s="84" t="str">
        <f>B11</f>
        <v>Ingresos</v>
      </c>
      <c r="C17" s="152">
        <f>INPUTS!D60</f>
        <v>0</v>
      </c>
      <c r="D17" s="105">
        <f t="shared" ref="D17:J17" si="8">D19*D18</f>
        <v>0</v>
      </c>
      <c r="E17" s="105">
        <f t="shared" si="8"/>
        <v>0</v>
      </c>
      <c r="F17" s="105">
        <f t="shared" si="8"/>
        <v>0</v>
      </c>
      <c r="G17" s="105">
        <f t="shared" si="8"/>
        <v>0</v>
      </c>
      <c r="H17" s="105">
        <f t="shared" si="8"/>
        <v>0</v>
      </c>
      <c r="I17" s="105">
        <f t="shared" si="8"/>
        <v>0</v>
      </c>
      <c r="J17" s="105">
        <f t="shared" si="8"/>
        <v>0</v>
      </c>
      <c r="K17" s="105">
        <f>K19*K18</f>
        <v>0</v>
      </c>
      <c r="L17" s="94"/>
      <c r="M17" s="116"/>
      <c r="N17" s="116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</row>
    <row r="18" spans="1:81" s="13" customFormat="1" outlineLevel="1" x14ac:dyDescent="0.2">
      <c r="B18" s="84" t="str">
        <f t="shared" ref="B18:B20" si="9">B12</f>
        <v>Precio</v>
      </c>
      <c r="C18" s="153">
        <f>INPUTS!D61*C1</f>
        <v>0</v>
      </c>
      <c r="D18" s="106">
        <f>$C18*D$7</f>
        <v>0</v>
      </c>
      <c r="E18" s="106">
        <f t="shared" ref="E18:K18" si="10">$C18*E$7</f>
        <v>0</v>
      </c>
      <c r="F18" s="106">
        <f t="shared" si="10"/>
        <v>0</v>
      </c>
      <c r="G18" s="106">
        <f t="shared" si="10"/>
        <v>0</v>
      </c>
      <c r="H18" s="106">
        <f t="shared" si="10"/>
        <v>0</v>
      </c>
      <c r="I18" s="106">
        <f t="shared" si="10"/>
        <v>0</v>
      </c>
      <c r="J18" s="106">
        <f t="shared" si="10"/>
        <v>0</v>
      </c>
      <c r="K18" s="106">
        <f t="shared" si="10"/>
        <v>0</v>
      </c>
      <c r="L18" s="94"/>
      <c r="M18" s="116"/>
      <c r="N18" s="116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</row>
    <row r="19" spans="1:81" s="13" customFormat="1" outlineLevel="1" x14ac:dyDescent="0.2">
      <c r="A19" s="15"/>
      <c r="B19" s="84" t="str">
        <f t="shared" si="9"/>
        <v>Unidades</v>
      </c>
      <c r="C19" s="155">
        <f>INPUTS!D62*C2</f>
        <v>0</v>
      </c>
      <c r="D19" s="106">
        <f t="shared" ref="D19:K19" si="11">IF(D$9&lt;$C17,0,IF(D$9=$C17,$C19,C19*(1+D21)))</f>
        <v>0</v>
      </c>
      <c r="E19" s="106">
        <f t="shared" si="11"/>
        <v>0</v>
      </c>
      <c r="F19" s="106">
        <f t="shared" si="11"/>
        <v>0</v>
      </c>
      <c r="G19" s="106">
        <f t="shared" si="11"/>
        <v>0</v>
      </c>
      <c r="H19" s="106">
        <f t="shared" si="11"/>
        <v>0</v>
      </c>
      <c r="I19" s="106">
        <f t="shared" si="11"/>
        <v>0</v>
      </c>
      <c r="J19" s="106">
        <f t="shared" si="11"/>
        <v>0</v>
      </c>
      <c r="K19" s="106">
        <f t="shared" si="11"/>
        <v>0</v>
      </c>
      <c r="L19" s="94"/>
      <c r="M19" s="106"/>
      <c r="N19" s="106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</row>
    <row r="20" spans="1:81" s="13" customFormat="1" outlineLevel="1" x14ac:dyDescent="0.2">
      <c r="A20" s="15"/>
      <c r="B20" s="84" t="str">
        <f t="shared" si="9"/>
        <v>Crecimiento</v>
      </c>
      <c r="D20" s="106"/>
      <c r="E20" s="117">
        <f t="array" ref="E20:J20">TRANSPOSE(INPUTS!D63:D68)</f>
        <v>0</v>
      </c>
      <c r="F20" s="117">
        <v>0</v>
      </c>
      <c r="G20" s="117">
        <v>0</v>
      </c>
      <c r="H20" s="117">
        <v>0</v>
      </c>
      <c r="I20" s="117">
        <v>0</v>
      </c>
      <c r="J20" s="117">
        <v>0</v>
      </c>
      <c r="K20" s="106"/>
      <c r="L20" s="94"/>
      <c r="M20" s="106"/>
      <c r="N20" s="106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</row>
    <row r="21" spans="1:81" s="13" customFormat="1" outlineLevel="1" x14ac:dyDescent="0.2">
      <c r="A21" s="15"/>
      <c r="D21" s="115"/>
      <c r="E21" s="50">
        <f t="shared" ref="E21:J21" si="12">IF(D19=0,0,E20*$C$3)</f>
        <v>0</v>
      </c>
      <c r="F21" s="50">
        <f t="shared" si="12"/>
        <v>0</v>
      </c>
      <c r="G21" s="50">
        <f t="shared" si="12"/>
        <v>0</v>
      </c>
      <c r="H21" s="50">
        <f t="shared" si="12"/>
        <v>0</v>
      </c>
      <c r="I21" s="50">
        <f t="shared" si="12"/>
        <v>0</v>
      </c>
      <c r="J21" s="50">
        <f t="shared" si="12"/>
        <v>0</v>
      </c>
      <c r="K21" s="50">
        <f>INPUTS!$C$11*$C$3</f>
        <v>0</v>
      </c>
      <c r="L21" s="94"/>
      <c r="M21" s="106"/>
      <c r="N21" s="106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</row>
    <row r="22" spans="1:81" s="13" customFormat="1" outlineLevel="1" x14ac:dyDescent="0.2">
      <c r="A22" s="15"/>
      <c r="B22" s="23" t="str">
        <f>INPUTS!E59</f>
        <v>Linea C</v>
      </c>
      <c r="D22" s="115"/>
      <c r="E22" s="115"/>
      <c r="F22" s="115"/>
      <c r="G22" s="115"/>
      <c r="H22" s="115"/>
      <c r="I22" s="115"/>
      <c r="J22" s="115"/>
      <c r="K22" s="115"/>
      <c r="L22" s="94"/>
      <c r="M22" s="116"/>
      <c r="N22" s="116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</row>
    <row r="23" spans="1:81" s="17" customFormat="1" outlineLevel="1" x14ac:dyDescent="0.2">
      <c r="A23" s="15"/>
      <c r="B23" s="84" t="str">
        <f>B17</f>
        <v>Ingresos</v>
      </c>
      <c r="C23" s="152">
        <f>INPUTS!E60</f>
        <v>0</v>
      </c>
      <c r="D23" s="105">
        <f t="shared" ref="D23:J23" si="13">D24*D25</f>
        <v>0</v>
      </c>
      <c r="E23" s="105">
        <f t="shared" si="13"/>
        <v>0</v>
      </c>
      <c r="F23" s="105">
        <f t="shared" si="13"/>
        <v>0</v>
      </c>
      <c r="G23" s="105">
        <f t="shared" si="13"/>
        <v>0</v>
      </c>
      <c r="H23" s="105">
        <f t="shared" si="13"/>
        <v>0</v>
      </c>
      <c r="I23" s="105">
        <f t="shared" si="13"/>
        <v>0</v>
      </c>
      <c r="J23" s="105">
        <f t="shared" si="13"/>
        <v>0</v>
      </c>
      <c r="K23" s="105">
        <f>K24*K25</f>
        <v>0</v>
      </c>
      <c r="L23" s="94"/>
      <c r="M23" s="116"/>
      <c r="N23" s="116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</row>
    <row r="24" spans="1:81" s="13" customFormat="1" outlineLevel="1" x14ac:dyDescent="0.2">
      <c r="B24" s="84" t="str">
        <f t="shared" ref="B24:B26" si="14">B18</f>
        <v>Precio</v>
      </c>
      <c r="C24" s="153">
        <f>INPUTS!E61*C1</f>
        <v>0</v>
      </c>
      <c r="D24" s="106">
        <f>$C24*D$7</f>
        <v>0</v>
      </c>
      <c r="E24" s="106">
        <f t="shared" ref="E24:K24" si="15">$C24*E$7</f>
        <v>0</v>
      </c>
      <c r="F24" s="106">
        <f t="shared" si="15"/>
        <v>0</v>
      </c>
      <c r="G24" s="106">
        <f t="shared" si="15"/>
        <v>0</v>
      </c>
      <c r="H24" s="106">
        <f t="shared" si="15"/>
        <v>0</v>
      </c>
      <c r="I24" s="106">
        <f t="shared" si="15"/>
        <v>0</v>
      </c>
      <c r="J24" s="106">
        <f t="shared" si="15"/>
        <v>0</v>
      </c>
      <c r="K24" s="106">
        <f t="shared" si="15"/>
        <v>0</v>
      </c>
      <c r="L24" s="94"/>
      <c r="M24" s="116"/>
      <c r="N24" s="116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</row>
    <row r="25" spans="1:81" s="13" customFormat="1" outlineLevel="1" x14ac:dyDescent="0.2">
      <c r="A25" s="86"/>
      <c r="B25" s="84" t="str">
        <f t="shared" si="14"/>
        <v>Unidades</v>
      </c>
      <c r="C25" s="155">
        <f>INPUTS!E62*C2</f>
        <v>0</v>
      </c>
      <c r="D25" s="106">
        <f>IF(D$9&lt;$C23,0,IF(D$9=$C23,$C25,C25*(1+D27)))</f>
        <v>0</v>
      </c>
      <c r="E25" s="106">
        <f t="shared" ref="E25:K25" si="16">IF(E$9&lt;$C23,0,IF(E$9=$C23,$C25,D25*(1+E27)))</f>
        <v>0</v>
      </c>
      <c r="F25" s="106">
        <f t="shared" si="16"/>
        <v>0</v>
      </c>
      <c r="G25" s="106">
        <f t="shared" si="16"/>
        <v>0</v>
      </c>
      <c r="H25" s="106">
        <f t="shared" si="16"/>
        <v>0</v>
      </c>
      <c r="I25" s="106">
        <f t="shared" si="16"/>
        <v>0</v>
      </c>
      <c r="J25" s="106">
        <f t="shared" si="16"/>
        <v>0</v>
      </c>
      <c r="K25" s="106">
        <f t="shared" si="16"/>
        <v>0</v>
      </c>
      <c r="L25" s="94"/>
      <c r="M25" s="106"/>
      <c r="N25" s="106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</row>
    <row r="26" spans="1:81" s="13" customFormat="1" outlineLevel="1" x14ac:dyDescent="0.2">
      <c r="A26" s="25"/>
      <c r="B26" s="84" t="str">
        <f t="shared" si="14"/>
        <v>Crecimiento</v>
      </c>
      <c r="D26" s="115"/>
      <c r="E26" s="50">
        <f t="array" ref="E26:J26">TRANSPOSE(INPUTS!E63:E68)</f>
        <v>0</v>
      </c>
      <c r="F26" s="50">
        <v>0</v>
      </c>
      <c r="G26" s="50">
        <v>0</v>
      </c>
      <c r="H26" s="50">
        <v>0</v>
      </c>
      <c r="I26" s="50">
        <v>0</v>
      </c>
      <c r="J26" s="50">
        <v>0</v>
      </c>
      <c r="L26" s="94"/>
      <c r="M26" s="116"/>
      <c r="N26" s="116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</row>
    <row r="27" spans="1:81" s="13" customFormat="1" outlineLevel="1" x14ac:dyDescent="0.2">
      <c r="A27" s="25"/>
      <c r="D27" s="115"/>
      <c r="E27" s="50">
        <f t="shared" ref="E27:J27" si="17">IF(D25=0,0,E26*$C$3)</f>
        <v>0</v>
      </c>
      <c r="F27" s="50">
        <f t="shared" si="17"/>
        <v>0</v>
      </c>
      <c r="G27" s="50">
        <f t="shared" si="17"/>
        <v>0</v>
      </c>
      <c r="H27" s="50">
        <f t="shared" si="17"/>
        <v>0</v>
      </c>
      <c r="I27" s="50">
        <f t="shared" si="17"/>
        <v>0</v>
      </c>
      <c r="J27" s="50">
        <f t="shared" si="17"/>
        <v>0</v>
      </c>
      <c r="K27" s="50">
        <f>INPUTS!$C$11*$C$3</f>
        <v>0</v>
      </c>
      <c r="L27" s="94"/>
      <c r="M27" s="116"/>
      <c r="N27" s="116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</row>
    <row r="28" spans="1:81" s="13" customFormat="1" outlineLevel="1" x14ac:dyDescent="0.2">
      <c r="A28" s="85"/>
      <c r="B28" s="23" t="str">
        <f>INPUTS!F59</f>
        <v>Linea D</v>
      </c>
      <c r="D28" s="115"/>
      <c r="E28" s="115"/>
      <c r="F28" s="115"/>
      <c r="G28" s="115"/>
      <c r="H28" s="115"/>
      <c r="I28" s="115"/>
      <c r="J28" s="115"/>
      <c r="K28" s="115"/>
      <c r="L28" s="94"/>
      <c r="M28" s="116"/>
      <c r="N28" s="116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</row>
    <row r="29" spans="1:81" s="17" customFormat="1" outlineLevel="1" x14ac:dyDescent="0.2">
      <c r="A29" s="15"/>
      <c r="B29" s="84" t="str">
        <f>B23</f>
        <v>Ingresos</v>
      </c>
      <c r="C29" s="152">
        <f>INPUTS!F60</f>
        <v>0</v>
      </c>
      <c r="D29" s="105">
        <f t="shared" ref="D29:J29" si="18">D30*D31</f>
        <v>0</v>
      </c>
      <c r="E29" s="105">
        <f t="shared" si="18"/>
        <v>0</v>
      </c>
      <c r="F29" s="105">
        <f t="shared" si="18"/>
        <v>0</v>
      </c>
      <c r="G29" s="105">
        <f t="shared" si="18"/>
        <v>0</v>
      </c>
      <c r="H29" s="105">
        <f t="shared" si="18"/>
        <v>0</v>
      </c>
      <c r="I29" s="105">
        <f t="shared" si="18"/>
        <v>0</v>
      </c>
      <c r="J29" s="105">
        <f t="shared" si="18"/>
        <v>0</v>
      </c>
      <c r="K29" s="105">
        <f>K30*K31</f>
        <v>0</v>
      </c>
      <c r="L29" s="94"/>
      <c r="M29" s="116"/>
      <c r="N29" s="116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</row>
    <row r="30" spans="1:81" s="13" customFormat="1" outlineLevel="1" x14ac:dyDescent="0.2">
      <c r="B30" s="84" t="str">
        <f t="shared" ref="B30:B32" si="19">B24</f>
        <v>Precio</v>
      </c>
      <c r="C30" s="153">
        <f>INPUTS!F61*C1</f>
        <v>0</v>
      </c>
      <c r="D30" s="106">
        <f>$C30*D$7</f>
        <v>0</v>
      </c>
      <c r="E30" s="106">
        <f t="shared" ref="E30:K30" si="20">$C30*E$7</f>
        <v>0</v>
      </c>
      <c r="F30" s="106">
        <f t="shared" si="20"/>
        <v>0</v>
      </c>
      <c r="G30" s="106">
        <f t="shared" si="20"/>
        <v>0</v>
      </c>
      <c r="H30" s="106">
        <f t="shared" si="20"/>
        <v>0</v>
      </c>
      <c r="I30" s="106">
        <f t="shared" si="20"/>
        <v>0</v>
      </c>
      <c r="J30" s="106">
        <f t="shared" si="20"/>
        <v>0</v>
      </c>
      <c r="K30" s="106">
        <f t="shared" si="20"/>
        <v>0</v>
      </c>
      <c r="L30" s="94"/>
      <c r="M30" s="116"/>
      <c r="N30" s="116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</row>
    <row r="31" spans="1:81" s="13" customFormat="1" outlineLevel="1" x14ac:dyDescent="0.2">
      <c r="A31" s="86"/>
      <c r="B31" s="84" t="str">
        <f t="shared" si="19"/>
        <v>Unidades</v>
      </c>
      <c r="C31" s="155">
        <f>INPUTS!F62*C2</f>
        <v>0</v>
      </c>
      <c r="D31" s="106">
        <f t="shared" ref="D31:K31" si="21">IF(D$9&lt;$C29,0,IF(D$9=$C29,$C31,C31*(1+D33)))</f>
        <v>0</v>
      </c>
      <c r="E31" s="106">
        <f t="shared" si="21"/>
        <v>0</v>
      </c>
      <c r="F31" s="106">
        <f t="shared" si="21"/>
        <v>0</v>
      </c>
      <c r="G31" s="106">
        <f t="shared" si="21"/>
        <v>0</v>
      </c>
      <c r="H31" s="106">
        <f t="shared" si="21"/>
        <v>0</v>
      </c>
      <c r="I31" s="106">
        <f t="shared" si="21"/>
        <v>0</v>
      </c>
      <c r="J31" s="106">
        <f t="shared" si="21"/>
        <v>0</v>
      </c>
      <c r="K31" s="106">
        <f t="shared" si="21"/>
        <v>0</v>
      </c>
      <c r="L31" s="94"/>
      <c r="M31" s="116"/>
      <c r="N31" s="116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</row>
    <row r="32" spans="1:81" s="13" customFormat="1" outlineLevel="1" x14ac:dyDescent="0.2">
      <c r="A32" s="25"/>
      <c r="B32" s="84" t="str">
        <f t="shared" si="19"/>
        <v>Crecimiento</v>
      </c>
      <c r="C32" s="116"/>
      <c r="D32" s="116"/>
      <c r="E32" s="50">
        <f t="array" ref="E32:J32">TRANSPOSE(INPUTS!F63:F68)</f>
        <v>0</v>
      </c>
      <c r="F32" s="50">
        <v>0</v>
      </c>
      <c r="G32" s="50">
        <v>0</v>
      </c>
      <c r="H32" s="50">
        <v>0</v>
      </c>
      <c r="I32" s="50">
        <v>0</v>
      </c>
      <c r="J32" s="50">
        <v>0</v>
      </c>
      <c r="L32" s="94"/>
      <c r="M32" s="116"/>
      <c r="N32" s="116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</row>
    <row r="33" spans="1:81" s="13" customFormat="1" outlineLevel="1" x14ac:dyDescent="0.2">
      <c r="A33" s="25"/>
      <c r="B33" s="116"/>
      <c r="C33" s="116"/>
      <c r="D33" s="116"/>
      <c r="E33" s="50">
        <f t="shared" ref="E33:J33" si="22">IF(D31=0,0,E32*$C$3)</f>
        <v>0</v>
      </c>
      <c r="F33" s="50">
        <f t="shared" si="22"/>
        <v>0</v>
      </c>
      <c r="G33" s="50">
        <f t="shared" si="22"/>
        <v>0</v>
      </c>
      <c r="H33" s="50">
        <f t="shared" si="22"/>
        <v>0</v>
      </c>
      <c r="I33" s="50">
        <f t="shared" si="22"/>
        <v>0</v>
      </c>
      <c r="J33" s="50">
        <f t="shared" si="22"/>
        <v>0</v>
      </c>
      <c r="K33" s="50">
        <f>INPUTS!$C$11*$C$3</f>
        <v>0</v>
      </c>
      <c r="L33" s="94"/>
      <c r="M33" s="116"/>
      <c r="N33" s="116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</row>
    <row r="34" spans="1:81" s="13" customFormat="1" outlineLevel="1" x14ac:dyDescent="0.2">
      <c r="A34" s="25"/>
      <c r="B34" s="23" t="str">
        <f>INPUTS!G59</f>
        <v>Linea E</v>
      </c>
      <c r="D34" s="115"/>
      <c r="E34" s="115"/>
      <c r="F34" s="115"/>
      <c r="G34" s="115"/>
      <c r="H34" s="115"/>
      <c r="I34" s="115"/>
      <c r="J34" s="115"/>
      <c r="K34" s="115"/>
      <c r="L34" s="94"/>
      <c r="M34" s="116"/>
      <c r="N34" s="116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</row>
    <row r="35" spans="1:81" s="13" customFormat="1" outlineLevel="1" x14ac:dyDescent="0.2">
      <c r="A35" s="25"/>
      <c r="B35" s="84" t="str">
        <f>B29</f>
        <v>Ingresos</v>
      </c>
      <c r="C35" s="152">
        <f>INPUTS!G60</f>
        <v>0</v>
      </c>
      <c r="D35" s="105">
        <f>D36*(D11+D17+D23+D29)</f>
        <v>0</v>
      </c>
      <c r="E35" s="105">
        <f t="shared" ref="E35:K35" si="23">E36*(E11+E17+E23+E29)</f>
        <v>0</v>
      </c>
      <c r="F35" s="105">
        <f t="shared" si="23"/>
        <v>0</v>
      </c>
      <c r="G35" s="105">
        <f t="shared" si="23"/>
        <v>0</v>
      </c>
      <c r="H35" s="105">
        <f t="shared" si="23"/>
        <v>0</v>
      </c>
      <c r="I35" s="105">
        <f t="shared" si="23"/>
        <v>0</v>
      </c>
      <c r="J35" s="105">
        <f t="shared" si="23"/>
        <v>0</v>
      </c>
      <c r="K35" s="105">
        <f t="shared" si="23"/>
        <v>0</v>
      </c>
      <c r="L35" s="94"/>
      <c r="M35" s="116"/>
      <c r="N35" s="116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</row>
    <row r="36" spans="1:81" s="13" customFormat="1" outlineLevel="1" x14ac:dyDescent="0.2">
      <c r="B36" s="84" t="s">
        <v>228</v>
      </c>
      <c r="C36" s="154">
        <f>INPUTS!G61*C1*C2</f>
        <v>0</v>
      </c>
      <c r="D36" s="387">
        <f>IF(D9=$C$35,$C$36,IF(D9&lt;$C$35,0,C36*(1+D38)))</f>
        <v>0</v>
      </c>
      <c r="E36" s="387">
        <f t="shared" ref="E36:K36" si="24">IF(E9=$C$35,$C$36,IF(E9&lt;$C$35,0,D36*(1+E38)))</f>
        <v>0</v>
      </c>
      <c r="F36" s="387">
        <f t="shared" si="24"/>
        <v>0</v>
      </c>
      <c r="G36" s="387">
        <f t="shared" si="24"/>
        <v>0</v>
      </c>
      <c r="H36" s="387">
        <f t="shared" si="24"/>
        <v>0</v>
      </c>
      <c r="I36" s="387">
        <f t="shared" si="24"/>
        <v>0</v>
      </c>
      <c r="J36" s="387">
        <f t="shared" si="24"/>
        <v>0</v>
      </c>
      <c r="K36" s="387">
        <f t="shared" si="24"/>
        <v>0</v>
      </c>
      <c r="L36" s="94"/>
      <c r="M36" s="116"/>
      <c r="N36" s="116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</row>
    <row r="37" spans="1:81" s="13" customFormat="1" outlineLevel="1" x14ac:dyDescent="0.2">
      <c r="B37" s="84" t="str">
        <f>B32</f>
        <v>Crecimiento</v>
      </c>
      <c r="D37" s="116"/>
      <c r="E37" s="50">
        <f t="array" ref="E37:J37">TRANSPOSE(INPUTS!G63:G68)</f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2"/>
      <c r="L37" s="94"/>
      <c r="M37" s="116"/>
      <c r="N37" s="116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</row>
    <row r="38" spans="1:81" outlineLevel="1" x14ac:dyDescent="0.2">
      <c r="E38" s="50">
        <f t="shared" ref="E38:J38" si="25">IF(D35=0,0,E37*$C$3)</f>
        <v>0</v>
      </c>
      <c r="F38" s="50">
        <f t="shared" si="25"/>
        <v>0</v>
      </c>
      <c r="G38" s="50">
        <f t="shared" si="25"/>
        <v>0</v>
      </c>
      <c r="H38" s="50">
        <f t="shared" si="25"/>
        <v>0</v>
      </c>
      <c r="I38" s="50">
        <f t="shared" si="25"/>
        <v>0</v>
      </c>
      <c r="J38" s="50">
        <f t="shared" si="25"/>
        <v>0</v>
      </c>
      <c r="K38" s="386">
        <f>INPUTS!C11*C3</f>
        <v>0</v>
      </c>
    </row>
    <row r="39" spans="1:81" s="13" customFormat="1" outlineLevel="1" x14ac:dyDescent="0.2">
      <c r="A39" s="15"/>
      <c r="B39" s="25"/>
      <c r="C39" s="15"/>
      <c r="D39" s="115"/>
      <c r="E39" s="115"/>
      <c r="F39" s="115"/>
      <c r="G39" s="115"/>
      <c r="H39" s="115"/>
      <c r="I39" s="115"/>
      <c r="J39" s="115"/>
      <c r="K39" s="115"/>
      <c r="L39" s="94"/>
      <c r="M39" s="116"/>
      <c r="N39" s="116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</row>
    <row r="40" spans="1:81" s="9" customFormat="1" x14ac:dyDescent="0.2">
      <c r="A40" s="14"/>
      <c r="B40" s="23"/>
      <c r="C40" s="23" t="s">
        <v>8</v>
      </c>
      <c r="D40" s="33">
        <f t="shared" ref="D40:K40" si="26">D11+D17+D23+D29+D35</f>
        <v>0</v>
      </c>
      <c r="E40" s="33">
        <f t="shared" si="26"/>
        <v>0</v>
      </c>
      <c r="F40" s="33">
        <f t="shared" si="26"/>
        <v>0</v>
      </c>
      <c r="G40" s="33">
        <f t="shared" si="26"/>
        <v>0</v>
      </c>
      <c r="H40" s="33">
        <f t="shared" si="26"/>
        <v>0</v>
      </c>
      <c r="I40" s="33">
        <f t="shared" si="26"/>
        <v>0</v>
      </c>
      <c r="J40" s="33">
        <f t="shared" si="26"/>
        <v>0</v>
      </c>
      <c r="K40" s="33">
        <f t="shared" si="26"/>
        <v>0</v>
      </c>
      <c r="L40" s="9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</row>
    <row r="41" spans="1:81" s="13" customFormat="1" x14ac:dyDescent="0.2">
      <c r="A41" s="25"/>
      <c r="B41" s="85"/>
      <c r="C41" s="14" t="s">
        <v>35</v>
      </c>
      <c r="D41" s="15"/>
      <c r="E41" s="50" t="e">
        <f t="shared" ref="E41:K41" si="27">E40/D40-1</f>
        <v>#DIV/0!</v>
      </c>
      <c r="F41" s="50" t="e">
        <f t="shared" si="27"/>
        <v>#DIV/0!</v>
      </c>
      <c r="G41" s="50" t="e">
        <f t="shared" si="27"/>
        <v>#DIV/0!</v>
      </c>
      <c r="H41" s="50" t="e">
        <f t="shared" si="27"/>
        <v>#DIV/0!</v>
      </c>
      <c r="I41" s="50" t="e">
        <f t="shared" si="27"/>
        <v>#DIV/0!</v>
      </c>
      <c r="J41" s="50" t="e">
        <f t="shared" si="27"/>
        <v>#DIV/0!</v>
      </c>
      <c r="K41" s="50" t="e">
        <f t="shared" si="27"/>
        <v>#DIV/0!</v>
      </c>
      <c r="L41" s="94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</row>
    <row r="42" spans="1:81" x14ac:dyDescent="0.2">
      <c r="E42" s="34"/>
      <c r="F42" s="34"/>
      <c r="G42" s="34"/>
      <c r="H42" s="34"/>
      <c r="I42" s="34"/>
      <c r="J42" s="34"/>
      <c r="K42" s="34"/>
      <c r="L42" s="94"/>
    </row>
    <row r="43" spans="1:81" s="11" customFormat="1" ht="10.8" thickBot="1" x14ac:dyDescent="0.25">
      <c r="A43" s="14"/>
      <c r="B43" s="303" t="s">
        <v>3</v>
      </c>
      <c r="C43" s="84"/>
      <c r="D43" s="105">
        <f t="shared" ref="D43:K43" si="28">D9</f>
        <v>1</v>
      </c>
      <c r="E43" s="105">
        <f t="shared" si="28"/>
        <v>2</v>
      </c>
      <c r="F43" s="105">
        <f t="shared" si="28"/>
        <v>3</v>
      </c>
      <c r="G43" s="105">
        <f t="shared" si="28"/>
        <v>4</v>
      </c>
      <c r="H43" s="105">
        <f t="shared" si="28"/>
        <v>5</v>
      </c>
      <c r="I43" s="105">
        <f t="shared" si="28"/>
        <v>6</v>
      </c>
      <c r="J43" s="105">
        <f t="shared" si="28"/>
        <v>7</v>
      </c>
      <c r="K43" s="105">
        <f t="shared" si="28"/>
        <v>8</v>
      </c>
      <c r="L43" s="9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</row>
    <row r="44" spans="1:81" outlineLevel="1" x14ac:dyDescent="0.2">
      <c r="C44" s="10" t="str">
        <f>INPUTS!B78</f>
        <v>Personal</v>
      </c>
      <c r="D44" s="115">
        <f>$C$4*INPUTS!C78</f>
        <v>0</v>
      </c>
      <c r="E44" s="106">
        <f>D44*E$7/D$7+INPUTS!D78*$C$4*INCO!E$7</f>
        <v>0</v>
      </c>
      <c r="F44" s="106">
        <f>E44*F$7/E$7+INPUTS!E78*$C$4*INCO!F$7</f>
        <v>0</v>
      </c>
      <c r="G44" s="106">
        <f>F44*G$7/F$7+INPUTS!F78*$C$4*INCO!G$7</f>
        <v>0</v>
      </c>
      <c r="H44" s="106">
        <f>G44*H$7/G$7+INPUTS!G78*$C$4*INCO!H$7</f>
        <v>0</v>
      </c>
      <c r="I44" s="106">
        <f>H44*I$7/H$7+INPUTS!H78*$C$4*INCO!I$7</f>
        <v>0</v>
      </c>
      <c r="J44" s="106">
        <f>I44*J$7/I$7+INPUTS!I78*$C$4*INCO!J$7</f>
        <v>0</v>
      </c>
      <c r="K44" s="106">
        <f>J44*K$7/J$7+INPUTS!J78*$C$4*INCO!K$7</f>
        <v>0</v>
      </c>
      <c r="L44" s="94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</row>
    <row r="45" spans="1:81" s="34" customFormat="1" outlineLevel="1" x14ac:dyDescent="0.2">
      <c r="A45" s="15"/>
      <c r="C45" s="10" t="str">
        <f>INPUTS!B79</f>
        <v>Suministros</v>
      </c>
      <c r="D45" s="115">
        <f>$C$4*INPUTS!C79</f>
        <v>0</v>
      </c>
      <c r="E45" s="106">
        <f>D45*E$7/D$7+INPUTS!D79*$C$4*INCO!E$7</f>
        <v>0</v>
      </c>
      <c r="F45" s="106">
        <f>E45*F$7/E$7+INPUTS!E79*$C$4*INCO!F$7</f>
        <v>0</v>
      </c>
      <c r="G45" s="106">
        <f>F45*G$7/F$7+INPUTS!F79*$C$4*INCO!G$7</f>
        <v>0</v>
      </c>
      <c r="H45" s="106">
        <f>G45*H$7/G$7+INPUTS!G79*$C$4*INCO!H$7</f>
        <v>0</v>
      </c>
      <c r="I45" s="106">
        <f>H45*I$7/H$7+INPUTS!H79*$C$4*INCO!I$7</f>
        <v>0</v>
      </c>
      <c r="J45" s="106">
        <f>I45*J$7/I$7+INPUTS!I79*$C$4*INCO!J$7</f>
        <v>0</v>
      </c>
      <c r="K45" s="106">
        <f>J45*K$7/J$7+INPUTS!J79*$C$4*INCO!K$7</f>
        <v>0</v>
      </c>
      <c r="L45" s="94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</row>
    <row r="46" spans="1:81" outlineLevel="1" x14ac:dyDescent="0.2">
      <c r="C46" s="10" t="str">
        <f>INPUTS!B80</f>
        <v>Gastos Generales</v>
      </c>
      <c r="D46" s="115">
        <f>$C$4*INPUTS!C80</f>
        <v>0</v>
      </c>
      <c r="E46" s="106">
        <f>D46*E$7/D$7+INPUTS!D80*$C$4*INCO!E$7</f>
        <v>0</v>
      </c>
      <c r="F46" s="106">
        <f>E46*F$7/E$7+INPUTS!E80*$C$4*INCO!F$7</f>
        <v>0</v>
      </c>
      <c r="G46" s="106">
        <f>F46*G$7/F$7+INPUTS!F80*$C$4*INCO!G$7</f>
        <v>0</v>
      </c>
      <c r="H46" s="106">
        <f>G46*H$7/G$7+INPUTS!G80*$C$4*INCO!H$7</f>
        <v>0</v>
      </c>
      <c r="I46" s="106">
        <f>H46*I$7/H$7+INPUTS!H80*$C$4*INCO!I$7</f>
        <v>0</v>
      </c>
      <c r="J46" s="106">
        <f>I46*J$7/I$7+INPUTS!I80*$C$4*INCO!J$7</f>
        <v>0</v>
      </c>
      <c r="K46" s="106">
        <f>J46*K$7/J$7+INPUTS!J80*$C$4*INCO!K$7</f>
        <v>0</v>
      </c>
      <c r="L46" s="94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</row>
    <row r="47" spans="1:81" s="4" customFormat="1" ht="10.8" outlineLevel="1" thickBot="1" x14ac:dyDescent="0.25">
      <c r="A47" s="15"/>
      <c r="B47" s="34"/>
      <c r="C47" s="10" t="str">
        <f>INPUTS!B81</f>
        <v>Alquileres</v>
      </c>
      <c r="D47" s="115">
        <f>$C$4*INPUTS!C81</f>
        <v>0</v>
      </c>
      <c r="E47" s="106">
        <f>D47*E$7/D$7+INPUTS!D81*$C$4*INCO!E$7</f>
        <v>0</v>
      </c>
      <c r="F47" s="106">
        <f>E47*F$7/E$7+INPUTS!E81*$C$4*INCO!F$7</f>
        <v>0</v>
      </c>
      <c r="G47" s="106">
        <f>F47*G$7/F$7+INPUTS!F81*$C$4*INCO!G$7</f>
        <v>0</v>
      </c>
      <c r="H47" s="106">
        <f>G47*H$7/G$7+INPUTS!G81*$C$4*INCO!H$7</f>
        <v>0</v>
      </c>
      <c r="I47" s="106">
        <f>H47*I$7/H$7+INPUTS!H81*$C$4*INCO!I$7</f>
        <v>0</v>
      </c>
      <c r="J47" s="106">
        <f>I47*J$7/I$7+INPUTS!I81*$C$4*INCO!J$7</f>
        <v>0</v>
      </c>
      <c r="K47" s="106">
        <f>J47*K$7/J$7+INPUTS!J81*$C$4*INCO!K$7</f>
        <v>0</v>
      </c>
      <c r="L47" s="94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</row>
    <row r="48" spans="1:81" outlineLevel="1" x14ac:dyDescent="0.2">
      <c r="B48" s="34"/>
      <c r="C48" s="10" t="str">
        <f>INPUTS!B82</f>
        <v>Seguros y Tributos</v>
      </c>
      <c r="D48" s="115">
        <f>$C$4*INPUTS!C82</f>
        <v>0</v>
      </c>
      <c r="E48" s="106">
        <f>D48*E$7/D$7+INPUTS!D82*$C$4*INCO!E$7</f>
        <v>0</v>
      </c>
      <c r="F48" s="106">
        <f>E48*F$7/E$7+INPUTS!E82*$C$4*INCO!F$7</f>
        <v>0</v>
      </c>
      <c r="G48" s="106">
        <f>F48*G$7/F$7+INPUTS!F82*$C$4*INCO!G$7</f>
        <v>0</v>
      </c>
      <c r="H48" s="106">
        <f>G48*H$7/G$7+INPUTS!G82*$C$4*INCO!H$7</f>
        <v>0</v>
      </c>
      <c r="I48" s="106">
        <f>H48*I$7/H$7+INPUTS!H82*$C$4*INCO!I$7</f>
        <v>0</v>
      </c>
      <c r="J48" s="106">
        <f>I48*J$7/I$7+INPUTS!I82*$C$4*INCO!J$7</f>
        <v>0</v>
      </c>
      <c r="K48" s="106">
        <f>J48*K$7/J$7+INPUTS!J82*$C$4*INCO!K$7</f>
        <v>0</v>
      </c>
      <c r="L48" s="94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</row>
    <row r="49" spans="1:81" outlineLevel="1" x14ac:dyDescent="0.2">
      <c r="C49" s="10" t="str">
        <f>INPUTS!B83</f>
        <v>Otros</v>
      </c>
      <c r="D49" s="115">
        <f>$C$4*INPUTS!C83</f>
        <v>0</v>
      </c>
      <c r="E49" s="106">
        <f>D49*E$7/D$7+INPUTS!D83*$C$4*INCO!E$7</f>
        <v>0</v>
      </c>
      <c r="F49" s="106">
        <f>E49*F$7/E$7+INPUTS!E83*$C$4*INCO!F$7</f>
        <v>0</v>
      </c>
      <c r="G49" s="106">
        <f>F49*G$7/F$7+INPUTS!F83*$C$4*INCO!G$7</f>
        <v>0</v>
      </c>
      <c r="H49" s="106">
        <f>G49*H$7/G$7+INPUTS!G83*$C$4*INCO!H$7</f>
        <v>0</v>
      </c>
      <c r="I49" s="106">
        <f>H49*I$7/H$7+INPUTS!H83*$C$4*INCO!I$7</f>
        <v>0</v>
      </c>
      <c r="J49" s="106">
        <f>I49*J$7/I$7+INPUTS!I83*$C$4*INCO!J$7</f>
        <v>0</v>
      </c>
      <c r="K49" s="106">
        <f>J49*K$7/J$7+INPUTS!J83*$C$4*INCO!K$7</f>
        <v>0</v>
      </c>
      <c r="L49" s="94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</row>
    <row r="50" spans="1:81" outlineLevel="1" x14ac:dyDescent="0.2">
      <c r="C50" s="10" t="str">
        <f>INPUTS!B84</f>
        <v>Gastos de Apertura</v>
      </c>
      <c r="D50" s="115">
        <f>$C$4*INPUTS!C84</f>
        <v>0</v>
      </c>
      <c r="E50" s="106"/>
      <c r="F50" s="106"/>
      <c r="G50" s="106"/>
      <c r="H50" s="106"/>
      <c r="I50" s="106"/>
      <c r="J50" s="106"/>
      <c r="K50" s="106"/>
      <c r="L50" s="94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</row>
    <row r="51" spans="1:81" s="3" customFormat="1" x14ac:dyDescent="0.2">
      <c r="A51" s="14"/>
      <c r="B51" s="84"/>
      <c r="C51" s="84" t="s">
        <v>4</v>
      </c>
      <c r="D51" s="105">
        <f t="shared" ref="D51:K51" si="29">SUM(D44:D50)</f>
        <v>0</v>
      </c>
      <c r="E51" s="105">
        <f t="shared" si="29"/>
        <v>0</v>
      </c>
      <c r="F51" s="105">
        <f t="shared" si="29"/>
        <v>0</v>
      </c>
      <c r="G51" s="105">
        <f t="shared" si="29"/>
        <v>0</v>
      </c>
      <c r="H51" s="105">
        <f t="shared" si="29"/>
        <v>0</v>
      </c>
      <c r="I51" s="105">
        <f t="shared" si="29"/>
        <v>0</v>
      </c>
      <c r="J51" s="105">
        <f t="shared" si="29"/>
        <v>0</v>
      </c>
      <c r="K51" s="105">
        <f t="shared" si="29"/>
        <v>0</v>
      </c>
      <c r="L51" s="9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</row>
    <row r="52" spans="1:81" s="3" customFormat="1" x14ac:dyDescent="0.2">
      <c r="A52" s="14"/>
      <c r="B52" s="14"/>
      <c r="C52" s="1" t="s">
        <v>210</v>
      </c>
      <c r="D52" s="106">
        <f>INPUTS!C85*(D44+D45+D49)</f>
        <v>0</v>
      </c>
      <c r="E52" s="106">
        <f>INPUTS!D85*(E44+E45+E49)</f>
        <v>0</v>
      </c>
      <c r="F52" s="106">
        <f>INPUTS!E85*(F44+F45+F49)</f>
        <v>0</v>
      </c>
      <c r="G52" s="106">
        <f>INPUTS!F85*(G44+G45+G49)</f>
        <v>0</v>
      </c>
      <c r="H52" s="106">
        <f>INPUTS!G85*(H44+H45+H49)</f>
        <v>0</v>
      </c>
      <c r="I52" s="106">
        <f>INPUTS!H85*(I44+I45+I49)</f>
        <v>0</v>
      </c>
      <c r="J52" s="106">
        <f>INPUTS!I85*(J44+J45+J49)</f>
        <v>0</v>
      </c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</row>
    <row r="53" spans="1:81" x14ac:dyDescent="0.2">
      <c r="B53" s="5"/>
      <c r="C53" s="34"/>
      <c r="D53" s="107"/>
      <c r="E53" s="107"/>
      <c r="F53" s="107"/>
      <c r="G53" s="107"/>
      <c r="H53" s="107"/>
      <c r="I53" s="107"/>
      <c r="J53" s="107"/>
      <c r="K53" s="107"/>
      <c r="L53" s="94"/>
    </row>
    <row r="54" spans="1:81" s="11" customFormat="1" ht="10.8" thickBot="1" x14ac:dyDescent="0.25">
      <c r="A54" s="14"/>
      <c r="B54" s="303" t="s">
        <v>5</v>
      </c>
      <c r="C54" s="35"/>
      <c r="D54" s="105">
        <f t="shared" ref="D54:K54" si="30">D43</f>
        <v>1</v>
      </c>
      <c r="E54" s="105">
        <f t="shared" si="30"/>
        <v>2</v>
      </c>
      <c r="F54" s="105">
        <f t="shared" si="30"/>
        <v>3</v>
      </c>
      <c r="G54" s="105">
        <f t="shared" si="30"/>
        <v>4</v>
      </c>
      <c r="H54" s="105">
        <f t="shared" si="30"/>
        <v>5</v>
      </c>
      <c r="I54" s="105">
        <f t="shared" si="30"/>
        <v>6</v>
      </c>
      <c r="J54" s="105">
        <f t="shared" si="30"/>
        <v>7</v>
      </c>
      <c r="K54" s="105">
        <f t="shared" si="30"/>
        <v>8</v>
      </c>
      <c r="L54" s="9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</row>
    <row r="55" spans="1:81" s="6" customFormat="1" outlineLevel="1" x14ac:dyDescent="0.2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9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</row>
    <row r="56" spans="1:81" s="6" customFormat="1" outlineLevel="1" x14ac:dyDescent="0.2">
      <c r="A56" s="14"/>
      <c r="B56" s="35" t="str">
        <f>B10</f>
        <v>Linea A</v>
      </c>
      <c r="C56" s="16"/>
      <c r="D56" s="105">
        <f t="shared" ref="D56:K56" si="31">SUM(D57:D59)</f>
        <v>0</v>
      </c>
      <c r="E56" s="105">
        <f t="shared" si="31"/>
        <v>0</v>
      </c>
      <c r="F56" s="105">
        <f t="shared" si="31"/>
        <v>0</v>
      </c>
      <c r="G56" s="105">
        <f t="shared" si="31"/>
        <v>0</v>
      </c>
      <c r="H56" s="105">
        <f t="shared" si="31"/>
        <v>0</v>
      </c>
      <c r="I56" s="105">
        <f t="shared" si="31"/>
        <v>0</v>
      </c>
      <c r="J56" s="105">
        <f t="shared" si="31"/>
        <v>0</v>
      </c>
      <c r="K56" s="105">
        <f t="shared" si="31"/>
        <v>0</v>
      </c>
      <c r="L56" s="9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</row>
    <row r="57" spans="1:81" outlineLevel="1" x14ac:dyDescent="0.2">
      <c r="B57" s="10" t="s">
        <v>132</v>
      </c>
      <c r="C57" s="162">
        <f>$C$4*INPUTS!C69</f>
        <v>0</v>
      </c>
      <c r="D57" s="106">
        <f>$C57*D$11</f>
        <v>0</v>
      </c>
      <c r="E57" s="106">
        <f t="shared" ref="E57:K57" si="32">$C57*E$11</f>
        <v>0</v>
      </c>
      <c r="F57" s="106">
        <f t="shared" si="32"/>
        <v>0</v>
      </c>
      <c r="G57" s="106">
        <f t="shared" si="32"/>
        <v>0</v>
      </c>
      <c r="H57" s="106">
        <f t="shared" si="32"/>
        <v>0</v>
      </c>
      <c r="I57" s="106">
        <f t="shared" si="32"/>
        <v>0</v>
      </c>
      <c r="J57" s="106">
        <f t="shared" si="32"/>
        <v>0</v>
      </c>
      <c r="K57" s="106">
        <f t="shared" si="32"/>
        <v>0</v>
      </c>
      <c r="L57" s="94"/>
    </row>
    <row r="58" spans="1:81" outlineLevel="1" x14ac:dyDescent="0.2">
      <c r="B58" s="10" t="s">
        <v>133</v>
      </c>
      <c r="C58" s="162">
        <f>$C$4*INPUTS!C70</f>
        <v>0</v>
      </c>
      <c r="D58" s="106">
        <f t="shared" ref="D58:K59" si="33">$C58*D$11</f>
        <v>0</v>
      </c>
      <c r="E58" s="106">
        <f t="shared" si="33"/>
        <v>0</v>
      </c>
      <c r="F58" s="106">
        <f t="shared" si="33"/>
        <v>0</v>
      </c>
      <c r="G58" s="106">
        <f t="shared" si="33"/>
        <v>0</v>
      </c>
      <c r="H58" s="106">
        <f t="shared" si="33"/>
        <v>0</v>
      </c>
      <c r="I58" s="106">
        <f t="shared" si="33"/>
        <v>0</v>
      </c>
      <c r="J58" s="106">
        <f t="shared" si="33"/>
        <v>0</v>
      </c>
      <c r="K58" s="106">
        <f t="shared" si="33"/>
        <v>0</v>
      </c>
      <c r="L58" s="94"/>
    </row>
    <row r="59" spans="1:81" outlineLevel="1" collapsed="1" x14ac:dyDescent="0.2">
      <c r="B59" s="10" t="s">
        <v>134</v>
      </c>
      <c r="C59" s="162">
        <f>$C$4*INPUTS!C71</f>
        <v>0</v>
      </c>
      <c r="D59" s="106">
        <f t="shared" si="33"/>
        <v>0</v>
      </c>
      <c r="E59" s="106">
        <f t="shared" si="33"/>
        <v>0</v>
      </c>
      <c r="F59" s="106">
        <f t="shared" si="33"/>
        <v>0</v>
      </c>
      <c r="G59" s="106">
        <f t="shared" si="33"/>
        <v>0</v>
      </c>
      <c r="H59" s="106">
        <f t="shared" si="33"/>
        <v>0</v>
      </c>
      <c r="I59" s="106">
        <f t="shared" si="33"/>
        <v>0</v>
      </c>
      <c r="J59" s="106">
        <f t="shared" si="33"/>
        <v>0</v>
      </c>
      <c r="K59" s="106">
        <f t="shared" si="33"/>
        <v>0</v>
      </c>
      <c r="L59" s="94"/>
    </row>
    <row r="60" spans="1:81" s="6" customFormat="1" outlineLevel="1" x14ac:dyDescent="0.2">
      <c r="A60" s="14"/>
      <c r="B60" s="35" t="str">
        <f>B16</f>
        <v>Linea B</v>
      </c>
      <c r="C60" s="113"/>
      <c r="D60" s="105">
        <f t="shared" ref="D60:K60" si="34">SUM(D61:D63)</f>
        <v>0</v>
      </c>
      <c r="E60" s="105">
        <f t="shared" si="34"/>
        <v>0</v>
      </c>
      <c r="F60" s="105">
        <f t="shared" si="34"/>
        <v>0</v>
      </c>
      <c r="G60" s="105">
        <f t="shared" si="34"/>
        <v>0</v>
      </c>
      <c r="H60" s="105">
        <f t="shared" si="34"/>
        <v>0</v>
      </c>
      <c r="I60" s="105">
        <f t="shared" si="34"/>
        <v>0</v>
      </c>
      <c r="J60" s="105">
        <f t="shared" si="34"/>
        <v>0</v>
      </c>
      <c r="K60" s="105">
        <f t="shared" si="34"/>
        <v>0</v>
      </c>
      <c r="L60" s="9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</row>
    <row r="61" spans="1:81" outlineLevel="1" x14ac:dyDescent="0.2">
      <c r="B61" s="10" t="s">
        <v>132</v>
      </c>
      <c r="C61" s="162">
        <f>$C$4*INPUTS!D69</f>
        <v>0</v>
      </c>
      <c r="D61" s="106">
        <f>$C61*D$17</f>
        <v>0</v>
      </c>
      <c r="E61" s="106">
        <f t="shared" ref="E61:K61" si="35">$C61*E$17</f>
        <v>0</v>
      </c>
      <c r="F61" s="106">
        <f t="shared" si="35"/>
        <v>0</v>
      </c>
      <c r="G61" s="106">
        <f t="shared" si="35"/>
        <v>0</v>
      </c>
      <c r="H61" s="106">
        <f t="shared" si="35"/>
        <v>0</v>
      </c>
      <c r="I61" s="106">
        <f t="shared" si="35"/>
        <v>0</v>
      </c>
      <c r="J61" s="106">
        <f t="shared" si="35"/>
        <v>0</v>
      </c>
      <c r="K61" s="106">
        <f t="shared" si="35"/>
        <v>0</v>
      </c>
      <c r="L61" s="94"/>
    </row>
    <row r="62" spans="1:81" outlineLevel="1" x14ac:dyDescent="0.2">
      <c r="B62" s="10" t="s">
        <v>133</v>
      </c>
      <c r="C62" s="162">
        <f>$C$4*INPUTS!D70</f>
        <v>0</v>
      </c>
      <c r="D62" s="106">
        <f t="shared" ref="D62:K63" si="36">$C62*D$17</f>
        <v>0</v>
      </c>
      <c r="E62" s="106">
        <f t="shared" si="36"/>
        <v>0</v>
      </c>
      <c r="F62" s="106">
        <f t="shared" si="36"/>
        <v>0</v>
      </c>
      <c r="G62" s="106">
        <f t="shared" si="36"/>
        <v>0</v>
      </c>
      <c r="H62" s="106">
        <f t="shared" si="36"/>
        <v>0</v>
      </c>
      <c r="I62" s="106">
        <f t="shared" si="36"/>
        <v>0</v>
      </c>
      <c r="J62" s="106">
        <f t="shared" si="36"/>
        <v>0</v>
      </c>
      <c r="K62" s="106">
        <f t="shared" si="36"/>
        <v>0</v>
      </c>
      <c r="L62" s="94"/>
    </row>
    <row r="63" spans="1:81" outlineLevel="1" x14ac:dyDescent="0.2">
      <c r="B63" s="10" t="s">
        <v>134</v>
      </c>
      <c r="C63" s="162">
        <f>$C$4*INPUTS!D71</f>
        <v>0</v>
      </c>
      <c r="D63" s="106">
        <f t="shared" si="36"/>
        <v>0</v>
      </c>
      <c r="E63" s="106">
        <f t="shared" si="36"/>
        <v>0</v>
      </c>
      <c r="F63" s="106">
        <f t="shared" si="36"/>
        <v>0</v>
      </c>
      <c r="G63" s="106">
        <f t="shared" si="36"/>
        <v>0</v>
      </c>
      <c r="H63" s="106">
        <f t="shared" si="36"/>
        <v>0</v>
      </c>
      <c r="I63" s="106">
        <f t="shared" si="36"/>
        <v>0</v>
      </c>
      <c r="J63" s="106">
        <f t="shared" si="36"/>
        <v>0</v>
      </c>
      <c r="K63" s="106">
        <f t="shared" si="36"/>
        <v>0</v>
      </c>
      <c r="L63" s="94"/>
    </row>
    <row r="64" spans="1:81" s="6" customFormat="1" outlineLevel="1" x14ac:dyDescent="0.2">
      <c r="A64" s="14"/>
      <c r="B64" s="35" t="str">
        <f>B22</f>
        <v>Linea C</v>
      </c>
      <c r="C64" s="113"/>
      <c r="D64" s="105">
        <f t="shared" ref="D64:K64" si="37">SUM(D65:D67)</f>
        <v>0</v>
      </c>
      <c r="E64" s="105">
        <f t="shared" si="37"/>
        <v>0</v>
      </c>
      <c r="F64" s="105">
        <f t="shared" si="37"/>
        <v>0</v>
      </c>
      <c r="G64" s="105">
        <f t="shared" si="37"/>
        <v>0</v>
      </c>
      <c r="H64" s="105">
        <f t="shared" si="37"/>
        <v>0</v>
      </c>
      <c r="I64" s="105">
        <f t="shared" si="37"/>
        <v>0</v>
      </c>
      <c r="J64" s="105">
        <f t="shared" si="37"/>
        <v>0</v>
      </c>
      <c r="K64" s="105">
        <f t="shared" si="37"/>
        <v>0</v>
      </c>
      <c r="L64" s="9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</row>
    <row r="65" spans="1:81" outlineLevel="1" x14ac:dyDescent="0.2">
      <c r="B65" s="10" t="s">
        <v>132</v>
      </c>
      <c r="C65" s="162">
        <f>$C$4*INPUTS!E69</f>
        <v>0</v>
      </c>
      <c r="D65" s="106">
        <f>$C65*D$23</f>
        <v>0</v>
      </c>
      <c r="E65" s="106">
        <f t="shared" ref="E65:K65" si="38">$C65*E$23</f>
        <v>0</v>
      </c>
      <c r="F65" s="106">
        <f t="shared" si="38"/>
        <v>0</v>
      </c>
      <c r="G65" s="106">
        <f t="shared" si="38"/>
        <v>0</v>
      </c>
      <c r="H65" s="106">
        <f t="shared" si="38"/>
        <v>0</v>
      </c>
      <c r="I65" s="106">
        <f t="shared" si="38"/>
        <v>0</v>
      </c>
      <c r="J65" s="106">
        <f t="shared" si="38"/>
        <v>0</v>
      </c>
      <c r="K65" s="106">
        <f t="shared" si="38"/>
        <v>0</v>
      </c>
      <c r="L65" s="94"/>
    </row>
    <row r="66" spans="1:81" outlineLevel="1" x14ac:dyDescent="0.2">
      <c r="B66" s="10" t="s">
        <v>133</v>
      </c>
      <c r="C66" s="162">
        <f>$C$4*INPUTS!E70</f>
        <v>0</v>
      </c>
      <c r="D66" s="106">
        <f t="shared" ref="D66:K67" si="39">$C66*D$23</f>
        <v>0</v>
      </c>
      <c r="E66" s="106">
        <f t="shared" si="39"/>
        <v>0</v>
      </c>
      <c r="F66" s="106">
        <f t="shared" si="39"/>
        <v>0</v>
      </c>
      <c r="G66" s="106">
        <f t="shared" si="39"/>
        <v>0</v>
      </c>
      <c r="H66" s="106">
        <f t="shared" si="39"/>
        <v>0</v>
      </c>
      <c r="I66" s="106">
        <f t="shared" si="39"/>
        <v>0</v>
      </c>
      <c r="J66" s="106">
        <f t="shared" si="39"/>
        <v>0</v>
      </c>
      <c r="K66" s="106">
        <f t="shared" si="39"/>
        <v>0</v>
      </c>
      <c r="L66" s="94"/>
    </row>
    <row r="67" spans="1:81" outlineLevel="1" x14ac:dyDescent="0.2">
      <c r="B67" s="10" t="s">
        <v>134</v>
      </c>
      <c r="C67" s="162">
        <f>$C$4*INPUTS!E71</f>
        <v>0</v>
      </c>
      <c r="D67" s="106">
        <f t="shared" si="39"/>
        <v>0</v>
      </c>
      <c r="E67" s="106">
        <f t="shared" si="39"/>
        <v>0</v>
      </c>
      <c r="F67" s="106">
        <f t="shared" si="39"/>
        <v>0</v>
      </c>
      <c r="G67" s="106">
        <f t="shared" si="39"/>
        <v>0</v>
      </c>
      <c r="H67" s="106">
        <f t="shared" si="39"/>
        <v>0</v>
      </c>
      <c r="I67" s="106">
        <f t="shared" si="39"/>
        <v>0</v>
      </c>
      <c r="J67" s="106">
        <f t="shared" si="39"/>
        <v>0</v>
      </c>
      <c r="K67" s="106">
        <f t="shared" si="39"/>
        <v>0</v>
      </c>
      <c r="L67" s="94"/>
    </row>
    <row r="68" spans="1:81" s="6" customFormat="1" outlineLevel="1" x14ac:dyDescent="0.2">
      <c r="A68" s="14"/>
      <c r="B68" s="35" t="str">
        <f>B28</f>
        <v>Linea D</v>
      </c>
      <c r="C68" s="113"/>
      <c r="D68" s="105">
        <f t="shared" ref="D68:K68" si="40">SUM(D69:D71)</f>
        <v>0</v>
      </c>
      <c r="E68" s="105">
        <f t="shared" si="40"/>
        <v>0</v>
      </c>
      <c r="F68" s="105">
        <f t="shared" si="40"/>
        <v>0</v>
      </c>
      <c r="G68" s="105">
        <f t="shared" si="40"/>
        <v>0</v>
      </c>
      <c r="H68" s="105">
        <f t="shared" si="40"/>
        <v>0</v>
      </c>
      <c r="I68" s="105">
        <f t="shared" si="40"/>
        <v>0</v>
      </c>
      <c r="J68" s="105">
        <f t="shared" si="40"/>
        <v>0</v>
      </c>
      <c r="K68" s="105">
        <f t="shared" si="40"/>
        <v>0</v>
      </c>
      <c r="L68" s="9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</row>
    <row r="69" spans="1:81" outlineLevel="1" x14ac:dyDescent="0.2">
      <c r="B69" s="10" t="s">
        <v>132</v>
      </c>
      <c r="C69" s="162">
        <f>$C$4*INPUTS!F69</f>
        <v>0</v>
      </c>
      <c r="D69" s="106">
        <f>$C69*D$29</f>
        <v>0</v>
      </c>
      <c r="E69" s="106">
        <f t="shared" ref="E69:K69" si="41">$C69*E$29</f>
        <v>0</v>
      </c>
      <c r="F69" s="106">
        <f t="shared" si="41"/>
        <v>0</v>
      </c>
      <c r="G69" s="106">
        <f t="shared" si="41"/>
        <v>0</v>
      </c>
      <c r="H69" s="106">
        <f t="shared" si="41"/>
        <v>0</v>
      </c>
      <c r="I69" s="106">
        <f t="shared" si="41"/>
        <v>0</v>
      </c>
      <c r="J69" s="106">
        <f t="shared" si="41"/>
        <v>0</v>
      </c>
      <c r="K69" s="106">
        <f t="shared" si="41"/>
        <v>0</v>
      </c>
      <c r="L69" s="94"/>
    </row>
    <row r="70" spans="1:81" outlineLevel="1" x14ac:dyDescent="0.2">
      <c r="B70" s="10" t="s">
        <v>133</v>
      </c>
      <c r="C70" s="162">
        <f>$C$4*INPUTS!F70</f>
        <v>0</v>
      </c>
      <c r="D70" s="106">
        <f t="shared" ref="D70:K71" si="42">$C70*D$29</f>
        <v>0</v>
      </c>
      <c r="E70" s="106">
        <f t="shared" si="42"/>
        <v>0</v>
      </c>
      <c r="F70" s="106">
        <f t="shared" si="42"/>
        <v>0</v>
      </c>
      <c r="G70" s="106">
        <f t="shared" si="42"/>
        <v>0</v>
      </c>
      <c r="H70" s="106">
        <f t="shared" si="42"/>
        <v>0</v>
      </c>
      <c r="I70" s="106">
        <f t="shared" si="42"/>
        <v>0</v>
      </c>
      <c r="J70" s="106">
        <f t="shared" si="42"/>
        <v>0</v>
      </c>
      <c r="K70" s="106">
        <f t="shared" si="42"/>
        <v>0</v>
      </c>
      <c r="L70" s="94"/>
    </row>
    <row r="71" spans="1:81" outlineLevel="1" x14ac:dyDescent="0.2">
      <c r="B71" s="10" t="s">
        <v>134</v>
      </c>
      <c r="C71" s="162">
        <f>$C$4*INPUTS!F71</f>
        <v>0</v>
      </c>
      <c r="D71" s="106">
        <f t="shared" si="42"/>
        <v>0</v>
      </c>
      <c r="E71" s="106">
        <f t="shared" si="42"/>
        <v>0</v>
      </c>
      <c r="F71" s="106">
        <f t="shared" si="42"/>
        <v>0</v>
      </c>
      <c r="G71" s="106">
        <f t="shared" si="42"/>
        <v>0</v>
      </c>
      <c r="H71" s="106">
        <f t="shared" si="42"/>
        <v>0</v>
      </c>
      <c r="I71" s="106">
        <f t="shared" si="42"/>
        <v>0</v>
      </c>
      <c r="J71" s="106">
        <f t="shared" si="42"/>
        <v>0</v>
      </c>
      <c r="K71" s="106">
        <f t="shared" si="42"/>
        <v>0</v>
      </c>
      <c r="L71" s="94"/>
    </row>
    <row r="72" spans="1:81" s="7" customFormat="1" outlineLevel="1" x14ac:dyDescent="0.2">
      <c r="A72" s="15"/>
      <c r="B72" s="101" t="str">
        <f>INPUTS!G59</f>
        <v>Linea E</v>
      </c>
      <c r="C72" s="101"/>
      <c r="D72" s="105">
        <f>SUM(D73:D75)</f>
        <v>0</v>
      </c>
      <c r="E72" s="105">
        <f t="shared" ref="E72:J72" si="43">SUM(E73:E75)</f>
        <v>0</v>
      </c>
      <c r="F72" s="105">
        <f t="shared" si="43"/>
        <v>0</v>
      </c>
      <c r="G72" s="105">
        <f t="shared" si="43"/>
        <v>0</v>
      </c>
      <c r="H72" s="105">
        <f t="shared" si="43"/>
        <v>0</v>
      </c>
      <c r="I72" s="105">
        <f t="shared" si="43"/>
        <v>0</v>
      </c>
      <c r="J72" s="105">
        <f t="shared" si="43"/>
        <v>0</v>
      </c>
      <c r="K72" s="105">
        <f>SUM(K73:K75)</f>
        <v>0</v>
      </c>
      <c r="L72" s="94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</row>
    <row r="73" spans="1:81" s="7" customFormat="1" outlineLevel="1" x14ac:dyDescent="0.2">
      <c r="A73" s="15"/>
      <c r="B73" s="10" t="s">
        <v>132</v>
      </c>
      <c r="C73" s="162">
        <f>$C$4*INPUTS!G69</f>
        <v>0</v>
      </c>
      <c r="D73" s="106">
        <f>$C73*D$35</f>
        <v>0</v>
      </c>
      <c r="E73" s="106">
        <f t="shared" ref="E73:K73" si="44">$C73*E$35</f>
        <v>0</v>
      </c>
      <c r="F73" s="106">
        <f t="shared" si="44"/>
        <v>0</v>
      </c>
      <c r="G73" s="106">
        <f t="shared" si="44"/>
        <v>0</v>
      </c>
      <c r="H73" s="106">
        <f t="shared" si="44"/>
        <v>0</v>
      </c>
      <c r="I73" s="106">
        <f t="shared" si="44"/>
        <v>0</v>
      </c>
      <c r="J73" s="106">
        <f t="shared" si="44"/>
        <v>0</v>
      </c>
      <c r="K73" s="106">
        <f t="shared" si="44"/>
        <v>0</v>
      </c>
      <c r="L73" s="94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</row>
    <row r="74" spans="1:81" s="7" customFormat="1" outlineLevel="1" x14ac:dyDescent="0.2">
      <c r="A74" s="15"/>
      <c r="B74" s="10" t="s">
        <v>133</v>
      </c>
      <c r="C74" s="162">
        <f>$C$4*INPUTS!G70</f>
        <v>0</v>
      </c>
      <c r="D74" s="106">
        <f t="shared" ref="D74:K75" si="45">$C74*D$35</f>
        <v>0</v>
      </c>
      <c r="E74" s="106">
        <f t="shared" si="45"/>
        <v>0</v>
      </c>
      <c r="F74" s="106">
        <f t="shared" si="45"/>
        <v>0</v>
      </c>
      <c r="G74" s="106">
        <f t="shared" si="45"/>
        <v>0</v>
      </c>
      <c r="H74" s="106">
        <f t="shared" si="45"/>
        <v>0</v>
      </c>
      <c r="I74" s="106">
        <f t="shared" si="45"/>
        <v>0</v>
      </c>
      <c r="J74" s="106">
        <f t="shared" si="45"/>
        <v>0</v>
      </c>
      <c r="K74" s="106">
        <f t="shared" si="45"/>
        <v>0</v>
      </c>
      <c r="L74" s="94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</row>
    <row r="75" spans="1:81" s="7" customFormat="1" outlineLevel="1" x14ac:dyDescent="0.2">
      <c r="A75" s="15"/>
      <c r="B75" s="10" t="s">
        <v>134</v>
      </c>
      <c r="C75" s="162">
        <f>$C$4*INPUTS!G71</f>
        <v>0</v>
      </c>
      <c r="D75" s="106">
        <f t="shared" si="45"/>
        <v>0</v>
      </c>
      <c r="E75" s="106">
        <f t="shared" si="45"/>
        <v>0</v>
      </c>
      <c r="F75" s="106">
        <f t="shared" si="45"/>
        <v>0</v>
      </c>
      <c r="G75" s="106">
        <f t="shared" si="45"/>
        <v>0</v>
      </c>
      <c r="H75" s="106">
        <f t="shared" si="45"/>
        <v>0</v>
      </c>
      <c r="I75" s="106">
        <f t="shared" si="45"/>
        <v>0</v>
      </c>
      <c r="J75" s="106">
        <f t="shared" si="45"/>
        <v>0</v>
      </c>
      <c r="K75" s="106">
        <f t="shared" si="45"/>
        <v>0</v>
      </c>
      <c r="L75" s="94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</row>
    <row r="76" spans="1:81" s="7" customFormat="1" outlineLevel="1" x14ac:dyDescent="0.2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</row>
    <row r="77" spans="1:81" s="3" customFormat="1" x14ac:dyDescent="0.2">
      <c r="A77" s="14"/>
      <c r="B77" s="16"/>
      <c r="C77" s="84" t="s">
        <v>6</v>
      </c>
      <c r="D77" s="105">
        <f t="shared" ref="D77:K77" si="46">D56+D60+D64+D68+D72</f>
        <v>0</v>
      </c>
      <c r="E77" s="105">
        <f t="shared" si="46"/>
        <v>0</v>
      </c>
      <c r="F77" s="105">
        <f t="shared" si="46"/>
        <v>0</v>
      </c>
      <c r="G77" s="105">
        <f t="shared" si="46"/>
        <v>0</v>
      </c>
      <c r="H77" s="105">
        <f t="shared" si="46"/>
        <v>0</v>
      </c>
      <c r="I77" s="105">
        <f t="shared" si="46"/>
        <v>0</v>
      </c>
      <c r="J77" s="105">
        <f t="shared" si="46"/>
        <v>0</v>
      </c>
      <c r="K77" s="105">
        <f t="shared" si="46"/>
        <v>0</v>
      </c>
      <c r="L77" s="9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</row>
    <row r="78" spans="1:81" s="3" customFormat="1" x14ac:dyDescent="0.2">
      <c r="A78" s="1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</row>
    <row r="79" spans="1:81" s="3" customFormat="1" x14ac:dyDescent="0.2">
      <c r="A79" s="14"/>
      <c r="B79" s="16"/>
      <c r="C79" s="84" t="s">
        <v>125</v>
      </c>
      <c r="D79" s="105">
        <f t="shared" ref="D79:K79" si="47">D51+D77</f>
        <v>0</v>
      </c>
      <c r="E79" s="105">
        <f t="shared" si="47"/>
        <v>0</v>
      </c>
      <c r="F79" s="105">
        <f t="shared" si="47"/>
        <v>0</v>
      </c>
      <c r="G79" s="105">
        <f t="shared" si="47"/>
        <v>0</v>
      </c>
      <c r="H79" s="105">
        <f t="shared" si="47"/>
        <v>0</v>
      </c>
      <c r="I79" s="105">
        <f t="shared" si="47"/>
        <v>0</v>
      </c>
      <c r="J79" s="105">
        <f t="shared" si="47"/>
        <v>0</v>
      </c>
      <c r="K79" s="105">
        <f t="shared" si="47"/>
        <v>0</v>
      </c>
      <c r="L79" s="9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</row>
    <row r="80" spans="1:81" s="3" customFormat="1" x14ac:dyDescent="0.2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9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</row>
    <row r="81" spans="1:81" s="3" customFormat="1" x14ac:dyDescent="0.2">
      <c r="A81" s="1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</row>
    <row r="82" spans="1:81" s="12" customFormat="1" x14ac:dyDescent="0.2">
      <c r="A82" s="14"/>
      <c r="B82" s="303" t="s">
        <v>126</v>
      </c>
      <c r="C82" s="16"/>
      <c r="D82" s="113">
        <f t="shared" ref="D82:K82" si="48">D4</f>
        <v>1</v>
      </c>
      <c r="E82" s="113">
        <f t="shared" si="48"/>
        <v>2</v>
      </c>
      <c r="F82" s="113">
        <f t="shared" si="48"/>
        <v>3</v>
      </c>
      <c r="G82" s="113">
        <f t="shared" si="48"/>
        <v>4</v>
      </c>
      <c r="H82" s="113">
        <f t="shared" si="48"/>
        <v>5</v>
      </c>
      <c r="I82" s="113">
        <f t="shared" si="48"/>
        <v>6</v>
      </c>
      <c r="J82" s="113">
        <f t="shared" si="48"/>
        <v>7</v>
      </c>
      <c r="K82" s="113">
        <f t="shared" si="48"/>
        <v>8</v>
      </c>
      <c r="L82" s="9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</row>
    <row r="83" spans="1:81" s="12" customFormat="1" x14ac:dyDescent="0.2">
      <c r="A83" s="14"/>
      <c r="B83" s="14"/>
      <c r="C83" s="25" t="s">
        <v>127</v>
      </c>
      <c r="D83" s="109">
        <f t="shared" ref="D83:K84" si="49">D57+D61+D65+D69+D73</f>
        <v>0</v>
      </c>
      <c r="E83" s="109">
        <f t="shared" si="49"/>
        <v>0</v>
      </c>
      <c r="F83" s="109">
        <f t="shared" si="49"/>
        <v>0</v>
      </c>
      <c r="G83" s="109">
        <f t="shared" si="49"/>
        <v>0</v>
      </c>
      <c r="H83" s="109">
        <f t="shared" si="49"/>
        <v>0</v>
      </c>
      <c r="I83" s="109">
        <f t="shared" si="49"/>
        <v>0</v>
      </c>
      <c r="J83" s="109">
        <f t="shared" si="49"/>
        <v>0</v>
      </c>
      <c r="K83" s="109">
        <f t="shared" si="49"/>
        <v>0</v>
      </c>
      <c r="L83" s="9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</row>
    <row r="84" spans="1:81" s="12" customFormat="1" x14ac:dyDescent="0.2">
      <c r="A84" s="14"/>
      <c r="B84" s="25"/>
      <c r="C84" s="25" t="s">
        <v>128</v>
      </c>
      <c r="D84" s="109">
        <f t="shared" si="49"/>
        <v>0</v>
      </c>
      <c r="E84" s="109">
        <f t="shared" si="49"/>
        <v>0</v>
      </c>
      <c r="F84" s="109">
        <f t="shared" si="49"/>
        <v>0</v>
      </c>
      <c r="G84" s="109">
        <f t="shared" si="49"/>
        <v>0</v>
      </c>
      <c r="H84" s="109">
        <f t="shared" si="49"/>
        <v>0</v>
      </c>
      <c r="I84" s="109">
        <f t="shared" si="49"/>
        <v>0</v>
      </c>
      <c r="J84" s="109">
        <f t="shared" si="49"/>
        <v>0</v>
      </c>
      <c r="K84" s="109">
        <f t="shared" si="49"/>
        <v>0</v>
      </c>
      <c r="L84" s="9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</row>
    <row r="85" spans="1:81" s="12" customFormat="1" x14ac:dyDescent="0.2">
      <c r="A85" s="14"/>
      <c r="B85" s="14"/>
      <c r="C85" s="25" t="s">
        <v>129</v>
      </c>
      <c r="D85" s="109">
        <f t="shared" ref="D85:K85" si="50">D59+D63+D67+D71+D75</f>
        <v>0</v>
      </c>
      <c r="E85" s="109">
        <f t="shared" si="50"/>
        <v>0</v>
      </c>
      <c r="F85" s="109">
        <f t="shared" si="50"/>
        <v>0</v>
      </c>
      <c r="G85" s="109">
        <f t="shared" si="50"/>
        <v>0</v>
      </c>
      <c r="H85" s="109">
        <f t="shared" si="50"/>
        <v>0</v>
      </c>
      <c r="I85" s="109">
        <f t="shared" si="50"/>
        <v>0</v>
      </c>
      <c r="J85" s="109">
        <f t="shared" si="50"/>
        <v>0</v>
      </c>
      <c r="K85" s="109">
        <f t="shared" si="50"/>
        <v>0</v>
      </c>
      <c r="L85" s="9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</row>
    <row r="86" spans="1:81" s="6" customFormat="1" x14ac:dyDescent="0.2">
      <c r="A86" s="14"/>
      <c r="C86" s="111"/>
      <c r="D86" s="111"/>
      <c r="E86" s="111"/>
      <c r="F86" s="111"/>
      <c r="G86" s="111"/>
      <c r="H86" s="111"/>
      <c r="I86" s="111"/>
      <c r="J86" s="111"/>
      <c r="K86" s="111"/>
      <c r="L86" s="9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</row>
    <row r="87" spans="1:81" x14ac:dyDescent="0.2">
      <c r="B87" s="251" t="s">
        <v>135</v>
      </c>
      <c r="C87" s="94"/>
      <c r="D87" s="94">
        <f>INPUTS!$C$93/12*E83</f>
        <v>0</v>
      </c>
      <c r="E87" s="94">
        <f>INPUTS!$C$93/12*F83</f>
        <v>0</v>
      </c>
      <c r="F87" s="94">
        <f>INPUTS!$C$93/12*G83</f>
        <v>0</v>
      </c>
      <c r="G87" s="94">
        <f>INPUTS!$C$93/12*H83</f>
        <v>0</v>
      </c>
      <c r="H87" s="94">
        <f>INPUTS!$C$93/12*I83</f>
        <v>0</v>
      </c>
      <c r="I87" s="94">
        <f>INPUTS!$C$93/12*J83</f>
        <v>0</v>
      </c>
      <c r="J87" s="94">
        <f>INPUTS!$C$93/12*K83</f>
        <v>0</v>
      </c>
      <c r="K87" s="103"/>
      <c r="L87" s="94"/>
    </row>
    <row r="88" spans="1:81" x14ac:dyDescent="0.2">
      <c r="B88" s="251" t="s">
        <v>136</v>
      </c>
      <c r="C88" s="94"/>
      <c r="D88" s="94">
        <f>INPUTS!$C$93/12*E84</f>
        <v>0</v>
      </c>
      <c r="E88" s="94">
        <f>INPUTS!$C$93/12*F84</f>
        <v>0</v>
      </c>
      <c r="F88" s="94">
        <f>INPUTS!$C$93/12*G84</f>
        <v>0</v>
      </c>
      <c r="G88" s="94">
        <f>INPUTS!$C$93/12*H84</f>
        <v>0</v>
      </c>
      <c r="H88" s="94">
        <f>INPUTS!$C$93/12*I84</f>
        <v>0</v>
      </c>
      <c r="I88" s="94">
        <f>INPUTS!$C$93/12*J84</f>
        <v>0</v>
      </c>
      <c r="J88" s="94">
        <f>INPUTS!$C$93/12*K84</f>
        <v>0</v>
      </c>
      <c r="K88" s="103"/>
      <c r="L88" s="94"/>
    </row>
    <row r="89" spans="1:81" x14ac:dyDescent="0.2">
      <c r="B89" s="304" t="s">
        <v>48</v>
      </c>
      <c r="C89" s="305"/>
      <c r="D89" s="305">
        <f>D88+D87</f>
        <v>0</v>
      </c>
      <c r="E89" s="305">
        <f t="shared" ref="E89:J89" si="51">E88+E87</f>
        <v>0</v>
      </c>
      <c r="F89" s="305">
        <f t="shared" si="51"/>
        <v>0</v>
      </c>
      <c r="G89" s="305">
        <f t="shared" si="51"/>
        <v>0</v>
      </c>
      <c r="H89" s="305">
        <f t="shared" si="51"/>
        <v>0</v>
      </c>
      <c r="I89" s="305">
        <f t="shared" si="51"/>
        <v>0</v>
      </c>
      <c r="J89" s="305">
        <f t="shared" si="51"/>
        <v>0</v>
      </c>
      <c r="K89" s="103"/>
      <c r="L89" s="94"/>
    </row>
    <row r="90" spans="1:81" x14ac:dyDescent="0.2">
      <c r="B90" s="251" t="s">
        <v>17</v>
      </c>
      <c r="D90" s="94">
        <f t="shared" ref="D90:K91" si="52">D83+D87-C87</f>
        <v>0</v>
      </c>
      <c r="E90" s="94">
        <f t="shared" si="52"/>
        <v>0</v>
      </c>
      <c r="F90" s="94">
        <f t="shared" si="52"/>
        <v>0</v>
      </c>
      <c r="G90" s="94">
        <f t="shared" si="52"/>
        <v>0</v>
      </c>
      <c r="H90" s="94">
        <f t="shared" si="52"/>
        <v>0</v>
      </c>
      <c r="I90" s="94">
        <f t="shared" si="52"/>
        <v>0</v>
      </c>
      <c r="J90" s="94">
        <f t="shared" si="52"/>
        <v>0</v>
      </c>
      <c r="K90" s="94">
        <f t="shared" si="52"/>
        <v>0</v>
      </c>
      <c r="L90" s="94"/>
    </row>
    <row r="91" spans="1:81" x14ac:dyDescent="0.2">
      <c r="B91" s="251" t="s">
        <v>49</v>
      </c>
      <c r="D91" s="94">
        <f t="shared" si="52"/>
        <v>0</v>
      </c>
      <c r="E91" s="94">
        <f t="shared" si="52"/>
        <v>0</v>
      </c>
      <c r="F91" s="94">
        <f t="shared" si="52"/>
        <v>0</v>
      </c>
      <c r="G91" s="94">
        <f t="shared" si="52"/>
        <v>0</v>
      </c>
      <c r="H91" s="94">
        <f t="shared" si="52"/>
        <v>0</v>
      </c>
      <c r="I91" s="94">
        <f t="shared" si="52"/>
        <v>0</v>
      </c>
      <c r="J91" s="94">
        <f t="shared" si="52"/>
        <v>0</v>
      </c>
      <c r="K91" s="94">
        <f t="shared" si="52"/>
        <v>0</v>
      </c>
      <c r="L91" s="94"/>
    </row>
    <row r="92" spans="1:81" x14ac:dyDescent="0.2">
      <c r="B92" s="304" t="s">
        <v>19</v>
      </c>
      <c r="C92" s="305">
        <f>INPUTS!$C$92/12*D90</f>
        <v>0</v>
      </c>
      <c r="D92" s="305">
        <f>INPUTS!$C$92/12*E90</f>
        <v>0</v>
      </c>
      <c r="E92" s="305">
        <f>INPUTS!$C$92/12*F90</f>
        <v>0</v>
      </c>
      <c r="F92" s="305">
        <f>INPUTS!$C$92/12*G90</f>
        <v>0</v>
      </c>
      <c r="G92" s="305">
        <f>INPUTS!$C$92/12*H90</f>
        <v>0</v>
      </c>
      <c r="H92" s="305">
        <f>INPUTS!$C$92/12*I90</f>
        <v>0</v>
      </c>
      <c r="I92" s="305">
        <f>INPUTS!$C$92/12*J90</f>
        <v>0</v>
      </c>
      <c r="J92" s="305">
        <f>INPUTS!$C$92/12*K90</f>
        <v>0</v>
      </c>
      <c r="K92" s="103"/>
      <c r="L92" s="94"/>
    </row>
    <row r="94" spans="1:81" x14ac:dyDescent="0.2">
      <c r="B94" s="304" t="s">
        <v>18</v>
      </c>
      <c r="C94" s="305">
        <f>C92</f>
        <v>0</v>
      </c>
      <c r="D94" s="305">
        <f t="shared" ref="D94:J94" si="53">D92-C92+D90</f>
        <v>0</v>
      </c>
      <c r="E94" s="305">
        <f t="shared" si="53"/>
        <v>0</v>
      </c>
      <c r="F94" s="305">
        <f t="shared" si="53"/>
        <v>0</v>
      </c>
      <c r="G94" s="305">
        <f t="shared" si="53"/>
        <v>0</v>
      </c>
      <c r="H94" s="305">
        <f t="shared" si="53"/>
        <v>0</v>
      </c>
      <c r="I94" s="305">
        <f t="shared" si="53"/>
        <v>0</v>
      </c>
      <c r="J94" s="305">
        <f t="shared" si="53"/>
        <v>0</v>
      </c>
      <c r="K94" s="94"/>
      <c r="L94" s="94"/>
    </row>
    <row r="95" spans="1:81" x14ac:dyDescent="0.2">
      <c r="B95" s="304" t="s">
        <v>137</v>
      </c>
      <c r="C95" s="3"/>
      <c r="D95" s="305">
        <f t="shared" ref="D95:J95" si="54">D91+D85</f>
        <v>0</v>
      </c>
      <c r="E95" s="305">
        <f t="shared" si="54"/>
        <v>0</v>
      </c>
      <c r="F95" s="305">
        <f t="shared" si="54"/>
        <v>0</v>
      </c>
      <c r="G95" s="305">
        <f t="shared" si="54"/>
        <v>0</v>
      </c>
      <c r="H95" s="305">
        <f t="shared" si="54"/>
        <v>0</v>
      </c>
      <c r="I95" s="305">
        <f t="shared" si="54"/>
        <v>0</v>
      </c>
      <c r="J95" s="305">
        <f t="shared" si="54"/>
        <v>0</v>
      </c>
      <c r="K95" s="94"/>
      <c r="L95" s="94"/>
    </row>
    <row r="96" spans="1:81" x14ac:dyDescent="0.2">
      <c r="B96" s="251"/>
      <c r="D96" s="94"/>
      <c r="E96" s="94"/>
      <c r="F96" s="94"/>
      <c r="G96" s="94"/>
      <c r="H96" s="94"/>
      <c r="I96" s="94"/>
      <c r="J96" s="94"/>
    </row>
    <row r="97" spans="4:10" x14ac:dyDescent="0.2">
      <c r="D97" s="26"/>
      <c r="E97" s="26"/>
      <c r="F97" s="26"/>
      <c r="G97" s="26"/>
      <c r="H97" s="26"/>
      <c r="I97" s="26"/>
      <c r="J97" s="26"/>
    </row>
    <row r="126" spans="4:12" x14ac:dyDescent="0.2">
      <c r="D126" s="27"/>
      <c r="E126" s="27"/>
      <c r="G126" s="96"/>
      <c r="H126" s="96"/>
      <c r="I126" s="96"/>
      <c r="J126" s="96"/>
      <c r="K126" s="96"/>
      <c r="L126" s="96"/>
    </row>
    <row r="127" spans="4:12" x14ac:dyDescent="0.2">
      <c r="D127" s="27"/>
      <c r="E127" s="27"/>
      <c r="G127" s="96"/>
      <c r="H127" s="96"/>
      <c r="I127" s="96"/>
      <c r="J127" s="96"/>
      <c r="K127" s="96"/>
      <c r="L127" s="96"/>
    </row>
    <row r="128" spans="4:12" x14ac:dyDescent="0.2">
      <c r="D128" s="27"/>
      <c r="E128" s="27"/>
      <c r="G128" s="96"/>
      <c r="H128" s="96"/>
      <c r="I128" s="96"/>
      <c r="J128" s="96"/>
      <c r="K128" s="96"/>
      <c r="L128" s="96"/>
    </row>
    <row r="129" spans="4:12" x14ac:dyDescent="0.2">
      <c r="D129" s="27"/>
      <c r="E129" s="27"/>
      <c r="G129" s="96"/>
      <c r="H129" s="96"/>
      <c r="I129" s="96"/>
      <c r="J129" s="96"/>
      <c r="K129" s="96"/>
      <c r="L129" s="96"/>
    </row>
  </sheetData>
  <customSheetViews>
    <customSheetView guid="{D4D7EB23-CC17-11D2-866F-0020AFB54048}" showRuler="0">
      <selection activeCell="E33" sqref="E33"/>
      <pageMargins left="0.33" right="0.25" top="1.1000000000000001" bottom="1" header="0.69" footer="0.511811024"/>
      <printOptions headings="1"/>
      <pageSetup paperSize="9" orientation="landscape" horizontalDpi="300" verticalDpi="300" r:id="rId1"/>
      <headerFooter alignWithMargins="0">
        <oddHeader>&amp;A</oddHeader>
        <oddFooter>&amp;LMODELEVA&amp;CDEPTO. ECONOMIA FINANCIERA&amp;RUNIVERSIDAD DE SANTIAGO</oddFooter>
      </headerFooter>
    </customSheetView>
    <customSheetView guid="{D4D7EB24-CC17-11D2-866F-0020AFB54048}" showRuler="0">
      <selection activeCell="E33" sqref="E33"/>
      <pageMargins left="0.33" right="0.25" top="1.1000000000000001" bottom="1" header="0.69" footer="0.511811024"/>
      <printOptions headings="1"/>
      <pageSetup paperSize="9" orientation="landscape" horizontalDpi="300" verticalDpi="300" r:id="rId2"/>
      <headerFooter alignWithMargins="0">
        <oddHeader>&amp;A</oddHeader>
        <oddFooter>&amp;LMODELEVA&amp;CDEPTO. ECONOMIA FINANCIERA&amp;RUNIVERSIDAD DE SANTIAGO</oddFooter>
      </headerFooter>
    </customSheetView>
  </customSheetViews>
  <phoneticPr fontId="4" type="noConversion"/>
  <dataValidations count="1">
    <dataValidation allowBlank="1" showInputMessage="1" showErrorMessage="1" prompt="Porcentaje sobre ingresos" sqref="C73:C75 C61:C63 C57:C59 C65:C67 C69:C71"/>
  </dataValidations>
  <printOptions headings="1"/>
  <pageMargins left="0.9055118110236221" right="0.35433070866141736" top="0.46" bottom="0.37" header="0.23" footer="0.18"/>
  <pageSetup paperSize="9" orientation="landscape" horizontalDpi="300" verticalDpi="300" r:id="rId3"/>
  <headerFooter alignWithMargins="0">
    <oddHeader>&amp;A</oddHeader>
    <oddFooter>&amp;C&amp;F&amp;R&amp;D</oddFooter>
  </headerFooter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L31"/>
  <sheetViews>
    <sheetView showGridLines="0" zoomScale="120" zoomScaleNormal="120" workbookViewId="0">
      <pane ySplit="3" topLeftCell="A4" activePane="bottomLeft" state="frozen"/>
      <selection pane="bottomLeft" activeCell="C5" sqref="C5"/>
    </sheetView>
  </sheetViews>
  <sheetFormatPr baseColWidth="10" defaultRowHeight="13.2" x14ac:dyDescent="0.25"/>
  <cols>
    <col min="1" max="1" width="4.77734375" customWidth="1"/>
    <col min="2" max="2" width="25" style="2" customWidth="1"/>
    <col min="3" max="9" width="9.77734375" style="103" customWidth="1"/>
    <col min="10" max="10" width="7.6640625" style="130" customWidth="1"/>
  </cols>
  <sheetData>
    <row r="1" spans="1:12" ht="13.8" thickBot="1" x14ac:dyDescent="0.3">
      <c r="B1"/>
      <c r="C1" s="156"/>
      <c r="D1" s="156"/>
      <c r="E1" s="156"/>
      <c r="F1" s="156"/>
      <c r="G1" s="156"/>
      <c r="H1" s="156"/>
      <c r="I1" s="114"/>
    </row>
    <row r="2" spans="1:12" ht="13.8" thickBot="1" x14ac:dyDescent="0.3">
      <c r="B2" s="34"/>
      <c r="C2" s="339" t="str">
        <f>RIESGO!C6</f>
        <v>Escenario  Base</v>
      </c>
      <c r="D2" s="345"/>
      <c r="E2" s="114"/>
      <c r="F2" s="114"/>
      <c r="G2" s="114"/>
      <c r="H2" s="114"/>
      <c r="I2" s="114"/>
      <c r="K2" s="130"/>
      <c r="L2" s="130"/>
    </row>
    <row r="3" spans="1:12" ht="13.8" thickBot="1" x14ac:dyDescent="0.3">
      <c r="B3" s="166" t="s">
        <v>0</v>
      </c>
      <c r="C3" s="171">
        <v>1</v>
      </c>
      <c r="D3" s="171">
        <f t="shared" ref="D3:I3" si="0">C3+1</f>
        <v>2</v>
      </c>
      <c r="E3" s="171">
        <f t="shared" si="0"/>
        <v>3</v>
      </c>
      <c r="F3" s="171">
        <f t="shared" si="0"/>
        <v>4</v>
      </c>
      <c r="G3" s="171">
        <f t="shared" si="0"/>
        <v>5</v>
      </c>
      <c r="H3" s="171">
        <f t="shared" si="0"/>
        <v>6</v>
      </c>
      <c r="I3" s="172">
        <f t="shared" si="0"/>
        <v>7</v>
      </c>
      <c r="K3" s="130"/>
      <c r="L3" s="130"/>
    </row>
    <row r="4" spans="1:12" x14ac:dyDescent="0.25">
      <c r="A4" s="141"/>
      <c r="B4" s="170" t="s">
        <v>138</v>
      </c>
      <c r="C4" s="180">
        <f>INCO!D40</f>
        <v>0</v>
      </c>
      <c r="D4" s="180">
        <f>INCO!E40</f>
        <v>0</v>
      </c>
      <c r="E4" s="180">
        <f>INCO!F40</f>
        <v>0</v>
      </c>
      <c r="F4" s="180">
        <f>INCO!G40</f>
        <v>0</v>
      </c>
      <c r="G4" s="180">
        <f>INCO!H40</f>
        <v>0</v>
      </c>
      <c r="H4" s="180">
        <f>INCO!I40</f>
        <v>0</v>
      </c>
      <c r="I4" s="181">
        <f>INCO!J40</f>
        <v>0</v>
      </c>
    </row>
    <row r="5" spans="1:12" x14ac:dyDescent="0.25">
      <c r="A5" s="141"/>
      <c r="B5" s="176" t="s">
        <v>90</v>
      </c>
      <c r="C5" s="165">
        <f>INPUTS!C73*RIESGO!$C$12</f>
        <v>0</v>
      </c>
      <c r="D5" s="165">
        <f>INPUTS!D73*RIESGO!$C$12</f>
        <v>0</v>
      </c>
      <c r="E5" s="165">
        <f>INPUTS!E73*RIESGO!$C$12</f>
        <v>0</v>
      </c>
      <c r="F5" s="165">
        <f>INPUTS!F73*RIESGO!$C$12</f>
        <v>0</v>
      </c>
      <c r="G5" s="165">
        <f>INPUTS!G73*RIESGO!$C$12</f>
        <v>0</v>
      </c>
      <c r="H5" s="165">
        <f>INPUTS!H73*RIESGO!$C$12</f>
        <v>0</v>
      </c>
      <c r="I5" s="174">
        <f>INPUTS!I73*RIESGO!$C$12</f>
        <v>0</v>
      </c>
    </row>
    <row r="6" spans="1:12" x14ac:dyDescent="0.25">
      <c r="A6" s="141"/>
      <c r="B6" s="55" t="s">
        <v>139</v>
      </c>
      <c r="C6" s="110">
        <f t="shared" ref="C6:I6" si="1">C4+C5</f>
        <v>0</v>
      </c>
      <c r="D6" s="110">
        <f t="shared" si="1"/>
        <v>0</v>
      </c>
      <c r="E6" s="110">
        <f t="shared" si="1"/>
        <v>0</v>
      </c>
      <c r="F6" s="110">
        <f t="shared" si="1"/>
        <v>0</v>
      </c>
      <c r="G6" s="110">
        <f t="shared" si="1"/>
        <v>0</v>
      </c>
      <c r="H6" s="110">
        <f t="shared" si="1"/>
        <v>0</v>
      </c>
      <c r="I6" s="349">
        <f t="shared" si="1"/>
        <v>0</v>
      </c>
    </row>
    <row r="7" spans="1:12" x14ac:dyDescent="0.25">
      <c r="A7" s="142"/>
      <c r="B7" s="175" t="s">
        <v>140</v>
      </c>
      <c r="C7" s="106">
        <f>INCO!D77</f>
        <v>0</v>
      </c>
      <c r="D7" s="106">
        <f>INCO!E77</f>
        <v>0</v>
      </c>
      <c r="E7" s="106">
        <f>INCO!F77</f>
        <v>0</v>
      </c>
      <c r="F7" s="106">
        <f>INCO!G77</f>
        <v>0</v>
      </c>
      <c r="G7" s="106">
        <f>INCO!H77</f>
        <v>0</v>
      </c>
      <c r="H7" s="106">
        <f>INCO!I77</f>
        <v>0</v>
      </c>
      <c r="I7" s="173">
        <f>INCO!J77</f>
        <v>0</v>
      </c>
    </row>
    <row r="8" spans="1:12" x14ac:dyDescent="0.25">
      <c r="A8" s="141"/>
      <c r="B8" s="175" t="s">
        <v>141</v>
      </c>
      <c r="C8" s="106">
        <f>INCO!D51-INCO!D52</f>
        <v>0</v>
      </c>
      <c r="D8" s="106">
        <f>INCO!E51-INCO!E52</f>
        <v>0</v>
      </c>
      <c r="E8" s="106">
        <f>INCO!F51-INCO!F52</f>
        <v>0</v>
      </c>
      <c r="F8" s="106">
        <f>INCO!G51-INCO!G52</f>
        <v>0</v>
      </c>
      <c r="G8" s="106">
        <f>INCO!H51-INCO!H52</f>
        <v>0</v>
      </c>
      <c r="H8" s="106">
        <f>INCO!I51-INCO!I52</f>
        <v>0</v>
      </c>
      <c r="I8" s="173">
        <f>INCO!J51-INCO!J52</f>
        <v>0</v>
      </c>
    </row>
    <row r="9" spans="1:12" x14ac:dyDescent="0.25">
      <c r="A9" s="141"/>
      <c r="B9" s="175" t="s">
        <v>142</v>
      </c>
      <c r="C9" s="106">
        <f>INVERSIONES!J47</f>
        <v>0</v>
      </c>
      <c r="D9" s="106">
        <f>INVERSIONES!K47</f>
        <v>0</v>
      </c>
      <c r="E9" s="106">
        <f>INVERSIONES!L47</f>
        <v>0</v>
      </c>
      <c r="F9" s="106">
        <f>INVERSIONES!M47</f>
        <v>0</v>
      </c>
      <c r="G9" s="106">
        <f>INVERSIONES!N47</f>
        <v>0</v>
      </c>
      <c r="H9" s="106">
        <f>INVERSIONES!O47</f>
        <v>0</v>
      </c>
      <c r="I9" s="173">
        <f>INVERSIONES!P47</f>
        <v>0</v>
      </c>
    </row>
    <row r="10" spans="1:12" x14ac:dyDescent="0.25">
      <c r="A10" s="143"/>
      <c r="B10" s="175" t="s">
        <v>143</v>
      </c>
      <c r="C10" s="106">
        <f>1/7*RIESGO!$C$12*INPUTS!C56</f>
        <v>0</v>
      </c>
      <c r="D10" s="106">
        <f>1/7*RIESGO!$C$12*INPUTS!D56+C10</f>
        <v>0</v>
      </c>
      <c r="E10" s="106">
        <f>1/7*RIESGO!$C$12*INPUTS!E56+D10</f>
        <v>0</v>
      </c>
      <c r="F10" s="106">
        <f>1/7*RIESGO!$C$12*INPUTS!F56+E10</f>
        <v>0</v>
      </c>
      <c r="G10" s="106">
        <f>1/7*RIESGO!$C$12*INPUTS!G56+F10</f>
        <v>0</v>
      </c>
      <c r="H10" s="106">
        <f>1/7*RIESGO!$C$12*INPUTS!H56+G10</f>
        <v>0</v>
      </c>
      <c r="I10" s="173">
        <f>1/7*RIESGO!$C$12*INPUTS!I56+H10</f>
        <v>0</v>
      </c>
    </row>
    <row r="11" spans="1:12" x14ac:dyDescent="0.25">
      <c r="A11" s="143"/>
      <c r="B11" s="202" t="s">
        <v>144</v>
      </c>
      <c r="C11" s="350">
        <f t="shared" ref="C11:I11" si="2">C6-C7-C8-C9+C10</f>
        <v>0</v>
      </c>
      <c r="D11" s="350">
        <f t="shared" si="2"/>
        <v>0</v>
      </c>
      <c r="E11" s="350">
        <f t="shared" si="2"/>
        <v>0</v>
      </c>
      <c r="F11" s="350">
        <f t="shared" si="2"/>
        <v>0</v>
      </c>
      <c r="G11" s="350">
        <f t="shared" si="2"/>
        <v>0</v>
      </c>
      <c r="H11" s="350">
        <f t="shared" si="2"/>
        <v>0</v>
      </c>
      <c r="I11" s="351">
        <f t="shared" si="2"/>
        <v>0</v>
      </c>
    </row>
    <row r="12" spans="1:12" x14ac:dyDescent="0.25">
      <c r="B12" s="48" t="s">
        <v>145</v>
      </c>
      <c r="C12" s="106">
        <f>INPUTS!$C$51*BALANCE!C14</f>
        <v>0</v>
      </c>
      <c r="D12" s="106">
        <f>INPUTS!$C$51*BALANCE!D14</f>
        <v>0</v>
      </c>
      <c r="E12" s="106">
        <f>INPUTS!$C$51*BALANCE!E14</f>
        <v>0</v>
      </c>
      <c r="F12" s="106">
        <f>INPUTS!$C$51*BALANCE!F14</f>
        <v>0</v>
      </c>
      <c r="G12" s="106">
        <f>INPUTS!$C$51*BALANCE!G14</f>
        <v>0</v>
      </c>
      <c r="H12" s="106">
        <f>INPUTS!$C$51*BALANCE!H14</f>
        <v>0</v>
      </c>
      <c r="I12" s="173">
        <f>INPUTS!$C$51*BALANCE!I14</f>
        <v>0</v>
      </c>
    </row>
    <row r="13" spans="1:12" x14ac:dyDescent="0.25">
      <c r="A13" s="143"/>
      <c r="B13" s="176" t="s">
        <v>146</v>
      </c>
      <c r="C13" s="165">
        <f>INPUTS!$C$50*BALANCE!C23</f>
        <v>0</v>
      </c>
      <c r="D13" s="165">
        <f>INPUTS!$C$50*BALANCE!D23</f>
        <v>0</v>
      </c>
      <c r="E13" s="165">
        <f>INPUTS!$C$50*BALANCE!E23</f>
        <v>0</v>
      </c>
      <c r="F13" s="165">
        <f>INPUTS!$C$50*BALANCE!F23</f>
        <v>0</v>
      </c>
      <c r="G13" s="165">
        <f>INPUTS!$C$50*BALANCE!G23</f>
        <v>0</v>
      </c>
      <c r="H13" s="165">
        <f>INPUTS!$C$50*BALANCE!H23</f>
        <v>0</v>
      </c>
      <c r="I13" s="174">
        <f>INPUTS!$C$50*BALANCE!I23</f>
        <v>0</v>
      </c>
    </row>
    <row r="14" spans="1:12" x14ac:dyDescent="0.25">
      <c r="A14" s="143"/>
      <c r="B14" s="177" t="s">
        <v>147</v>
      </c>
      <c r="C14" s="110">
        <f>C11+C12-C13</f>
        <v>0</v>
      </c>
      <c r="D14" s="110">
        <f t="shared" ref="D14:I14" si="3">D11+D12-D13</f>
        <v>0</v>
      </c>
      <c r="E14" s="110">
        <f t="shared" si="3"/>
        <v>0</v>
      </c>
      <c r="F14" s="110">
        <f t="shared" si="3"/>
        <v>0</v>
      </c>
      <c r="G14" s="110">
        <f t="shared" si="3"/>
        <v>0</v>
      </c>
      <c r="H14" s="110">
        <f t="shared" si="3"/>
        <v>0</v>
      </c>
      <c r="I14" s="349">
        <f t="shared" si="3"/>
        <v>0</v>
      </c>
    </row>
    <row r="15" spans="1:12" x14ac:dyDescent="0.25">
      <c r="A15" s="144"/>
      <c r="B15" s="48" t="s">
        <v>148</v>
      </c>
      <c r="C15" s="106">
        <f>MAX(0,C19*INPUTS!$C$9)</f>
        <v>0</v>
      </c>
      <c r="D15" s="106">
        <f>MAX(0,D19*INPUTS!$C$9)</f>
        <v>0</v>
      </c>
      <c r="E15" s="106">
        <f>MAX(0,E19*INPUTS!$C$9)</f>
        <v>0</v>
      </c>
      <c r="F15" s="106">
        <f>MAX(0,F19*INPUTS!$C$9)</f>
        <v>0</v>
      </c>
      <c r="G15" s="106">
        <f>MAX(0,G19*INPUTS!$C$9)</f>
        <v>0</v>
      </c>
      <c r="H15" s="106">
        <f>MAX(0,H19*INPUTS!$C$9)</f>
        <v>0</v>
      </c>
      <c r="I15" s="173">
        <f>MAX(0,I19*INPUTS!$C$9)</f>
        <v>0</v>
      </c>
    </row>
    <row r="16" spans="1:12" ht="13.8" thickBot="1" x14ac:dyDescent="0.3">
      <c r="A16" s="144"/>
      <c r="B16" s="178" t="s">
        <v>149</v>
      </c>
      <c r="C16" s="282">
        <f t="shared" ref="C16:I16" si="4">C14-C15</f>
        <v>0</v>
      </c>
      <c r="D16" s="282">
        <f t="shared" si="4"/>
        <v>0</v>
      </c>
      <c r="E16" s="282">
        <f t="shared" si="4"/>
        <v>0</v>
      </c>
      <c r="F16" s="282">
        <f t="shared" si="4"/>
        <v>0</v>
      </c>
      <c r="G16" s="282">
        <f t="shared" si="4"/>
        <v>0</v>
      </c>
      <c r="H16" s="282">
        <f t="shared" si="4"/>
        <v>0</v>
      </c>
      <c r="I16" s="286">
        <f t="shared" si="4"/>
        <v>0</v>
      </c>
    </row>
    <row r="17" spans="1:10" s="2" customFormat="1" ht="13.8" thickBot="1" x14ac:dyDescent="0.3">
      <c r="A17" s="145"/>
      <c r="C17" s="106"/>
      <c r="D17" s="106"/>
      <c r="E17" s="106"/>
      <c r="F17" s="106"/>
      <c r="G17" s="106"/>
      <c r="H17" s="106"/>
      <c r="I17" s="106"/>
      <c r="J17" s="130"/>
    </row>
    <row r="18" spans="1:10" x14ac:dyDescent="0.25">
      <c r="A18" s="73"/>
      <c r="B18" s="352" t="s">
        <v>75</v>
      </c>
      <c r="C18" s="180"/>
      <c r="D18" s="180">
        <f>MAX(0,C16*INPUTS!$C$52)</f>
        <v>0</v>
      </c>
      <c r="E18" s="180">
        <f>IF(BALANCE!E19&gt;=0,MAX(0,D16*INPUTS!$C$52),0)</f>
        <v>0</v>
      </c>
      <c r="F18" s="180">
        <f>IF(BALANCE!F19&gt;=0,MAX(0,E16*INPUTS!$C$52),0)</f>
        <v>0</v>
      </c>
      <c r="G18" s="180">
        <f>IF(BALANCE!G19&gt;=0,MAX(0,F16*INPUTS!$C$52),0)</f>
        <v>0</v>
      </c>
      <c r="H18" s="180">
        <f>IF(BALANCE!H19&gt;=0,MAX(0,G16*INPUTS!$C$52),0)</f>
        <v>0</v>
      </c>
      <c r="I18" s="181">
        <f>IF(BALANCE!I19&gt;=0,MAX(0,H16*INPUTS!$C$52),0)</f>
        <v>0</v>
      </c>
    </row>
    <row r="19" spans="1:10" ht="13.8" thickBot="1" x14ac:dyDescent="0.3">
      <c r="B19" s="68" t="s">
        <v>150</v>
      </c>
      <c r="C19" s="182">
        <f>C14</f>
        <v>0</v>
      </c>
      <c r="D19" s="182">
        <f t="shared" ref="D19:I19" si="5">IF(C19&lt;0,C19+D14,D14)</f>
        <v>0</v>
      </c>
      <c r="E19" s="182">
        <f t="shared" si="5"/>
        <v>0</v>
      </c>
      <c r="F19" s="182">
        <f t="shared" si="5"/>
        <v>0</v>
      </c>
      <c r="G19" s="182">
        <f t="shared" si="5"/>
        <v>0</v>
      </c>
      <c r="H19" s="182">
        <f t="shared" si="5"/>
        <v>0</v>
      </c>
      <c r="I19" s="183">
        <f t="shared" si="5"/>
        <v>0</v>
      </c>
    </row>
    <row r="20" spans="1:10" x14ac:dyDescent="0.25">
      <c r="B20"/>
      <c r="D20" s="130"/>
      <c r="E20" s="130"/>
      <c r="F20" s="157"/>
      <c r="G20" s="130"/>
      <c r="H20" s="130"/>
      <c r="I20" s="157"/>
    </row>
    <row r="21" spans="1:10" x14ac:dyDescent="0.25">
      <c r="C21" s="106"/>
      <c r="D21" s="106"/>
      <c r="E21" s="106"/>
      <c r="F21" s="106"/>
      <c r="G21" s="106"/>
      <c r="H21" s="106"/>
      <c r="I21" s="106"/>
    </row>
    <row r="22" spans="1:10" x14ac:dyDescent="0.25">
      <c r="C22" s="191"/>
      <c r="D22" s="191"/>
      <c r="E22" s="191"/>
      <c r="F22" s="191"/>
      <c r="G22" s="191"/>
      <c r="H22" s="191"/>
      <c r="I22" s="191"/>
    </row>
    <row r="23" spans="1:10" x14ac:dyDescent="0.25">
      <c r="C23" s="106"/>
    </row>
    <row r="24" spans="1:10" x14ac:dyDescent="0.25">
      <c r="C24" s="106"/>
    </row>
    <row r="25" spans="1:10" x14ac:dyDescent="0.25">
      <c r="C25" s="106"/>
    </row>
    <row r="26" spans="1:10" x14ac:dyDescent="0.25">
      <c r="C26" s="106"/>
    </row>
    <row r="27" spans="1:10" x14ac:dyDescent="0.25">
      <c r="C27" s="106"/>
    </row>
    <row r="28" spans="1:10" x14ac:dyDescent="0.25">
      <c r="C28" s="106"/>
    </row>
    <row r="29" spans="1:10" x14ac:dyDescent="0.25">
      <c r="C29" s="106"/>
    </row>
    <row r="30" spans="1:10" x14ac:dyDescent="0.25">
      <c r="C30" s="106"/>
    </row>
    <row r="31" spans="1:10" x14ac:dyDescent="0.25">
      <c r="C31" s="106"/>
    </row>
  </sheetData>
  <phoneticPr fontId="4" type="noConversion"/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1"/>
  <headerFooter alignWithMargins="0">
    <oddHeader>&amp;A</oddHeader>
    <oddFooter>&amp;C&amp;F&amp;R&amp;D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2"/>
  <dimension ref="A1:AC76"/>
  <sheetViews>
    <sheetView showGridLines="0" zoomScale="120" zoomScaleNormal="120" workbookViewId="0">
      <pane ySplit="3" topLeftCell="A4" activePane="bottomLeft" state="frozen"/>
      <selection pane="bottomLeft" activeCell="G34" sqref="G34"/>
    </sheetView>
  </sheetViews>
  <sheetFormatPr baseColWidth="10" defaultColWidth="11.5546875" defaultRowHeight="10.199999999999999" x14ac:dyDescent="0.2"/>
  <cols>
    <col min="1" max="1" width="4.109375" style="2" customWidth="1"/>
    <col min="2" max="2" width="22.6640625" style="2" customWidth="1"/>
    <col min="3" max="3" width="9.77734375" style="2" customWidth="1"/>
    <col min="4" max="10" width="9.33203125" style="2" customWidth="1"/>
    <col min="11" max="11" width="9" style="2" customWidth="1"/>
    <col min="12" max="12" width="7.44140625" style="2" customWidth="1"/>
    <col min="13" max="13" width="11.5546875" style="103"/>
    <col min="14" max="16384" width="11.5546875" style="2"/>
  </cols>
  <sheetData>
    <row r="1" spans="2:29" ht="10.8" thickBot="1" x14ac:dyDescent="0.25">
      <c r="B1" s="344"/>
      <c r="F1" s="140"/>
      <c r="H1" s="26"/>
      <c r="K1" s="95"/>
    </row>
    <row r="2" spans="2:29" ht="10.8" thickBot="1" x14ac:dyDescent="0.25">
      <c r="B2" s="34"/>
      <c r="C2" s="91" t="str">
        <f>RIESGO!C6</f>
        <v>Escenario  Base</v>
      </c>
      <c r="D2" s="340"/>
      <c r="F2" s="34"/>
      <c r="G2" s="34"/>
      <c r="H2" s="34"/>
      <c r="I2" s="34"/>
      <c r="J2" s="34"/>
      <c r="K2" s="95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</row>
    <row r="3" spans="2:29" s="14" customFormat="1" x14ac:dyDescent="0.2">
      <c r="B3" s="127" t="s">
        <v>0</v>
      </c>
      <c r="C3" s="171" t="s">
        <v>230</v>
      </c>
      <c r="D3" s="171">
        <f>INVERSIONES!J3</f>
        <v>1</v>
      </c>
      <c r="E3" s="171">
        <f t="shared" ref="E3:J3" si="0">D3+1</f>
        <v>2</v>
      </c>
      <c r="F3" s="171">
        <f t="shared" si="0"/>
        <v>3</v>
      </c>
      <c r="G3" s="171">
        <f t="shared" si="0"/>
        <v>4</v>
      </c>
      <c r="H3" s="171">
        <f t="shared" si="0"/>
        <v>5</v>
      </c>
      <c r="I3" s="171">
        <f t="shared" si="0"/>
        <v>6</v>
      </c>
      <c r="J3" s="172">
        <f t="shared" si="0"/>
        <v>7</v>
      </c>
      <c r="K3" s="294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</row>
    <row r="4" spans="2:29" s="15" customFormat="1" x14ac:dyDescent="0.2">
      <c r="B4" s="48" t="s">
        <v>151</v>
      </c>
      <c r="C4" s="115">
        <f>INVERSIONES!C53</f>
        <v>0</v>
      </c>
      <c r="D4" s="115">
        <f>C4+INVERSIONES!D53</f>
        <v>0</v>
      </c>
      <c r="E4" s="115">
        <f>D4+INVERSIONES!E53</f>
        <v>0</v>
      </c>
      <c r="F4" s="115">
        <f>E4+INVERSIONES!F53</f>
        <v>0</v>
      </c>
      <c r="G4" s="115">
        <f>F4+INVERSIONES!G53</f>
        <v>0</v>
      </c>
      <c r="H4" s="115">
        <f>G4+INVERSIONES!H53</f>
        <v>0</v>
      </c>
      <c r="I4" s="115">
        <f>H4+INVERSIONES!I53</f>
        <v>0</v>
      </c>
      <c r="J4" s="279">
        <f>I4+INVERSIONES!J53</f>
        <v>0</v>
      </c>
      <c r="K4" s="95"/>
      <c r="M4" s="116"/>
    </row>
    <row r="5" spans="2:29" s="15" customFormat="1" x14ac:dyDescent="0.2">
      <c r="B5" s="48" t="s">
        <v>152</v>
      </c>
      <c r="C5" s="115"/>
      <c r="D5" s="115">
        <f>C5+INVERSIONES!J45</f>
        <v>0</v>
      </c>
      <c r="E5" s="115">
        <f>D5+INVERSIONES!K45</f>
        <v>0</v>
      </c>
      <c r="F5" s="115">
        <f>E5+INVERSIONES!L45</f>
        <v>0</v>
      </c>
      <c r="G5" s="115">
        <f>F5+INVERSIONES!M45</f>
        <v>0</v>
      </c>
      <c r="H5" s="115">
        <f>G5+INVERSIONES!N45</f>
        <v>0</v>
      </c>
      <c r="I5" s="115">
        <f>H5+INVERSIONES!O45</f>
        <v>0</v>
      </c>
      <c r="J5" s="279">
        <f>I5+INVERSIONES!P45</f>
        <v>0</v>
      </c>
      <c r="K5" s="95"/>
      <c r="M5" s="116"/>
    </row>
    <row r="6" spans="2:29" s="15" customFormat="1" x14ac:dyDescent="0.2">
      <c r="B6" s="48" t="s">
        <v>153</v>
      </c>
      <c r="C6" s="115">
        <f>INVERSIONES!C54</f>
        <v>0</v>
      </c>
      <c r="D6" s="115">
        <f>C6+INVERSIONES!D54</f>
        <v>0</v>
      </c>
      <c r="E6" s="115">
        <f>D6+INVERSIONES!E54</f>
        <v>0</v>
      </c>
      <c r="F6" s="115">
        <f>E6+INVERSIONES!F54</f>
        <v>0</v>
      </c>
      <c r="G6" s="115">
        <f>F6+INVERSIONES!G54</f>
        <v>0</v>
      </c>
      <c r="H6" s="115">
        <f>G6+INVERSIONES!H54</f>
        <v>0</v>
      </c>
      <c r="I6" s="115">
        <f>H6+INVERSIONES!I54</f>
        <v>0</v>
      </c>
      <c r="J6" s="279">
        <f>I6+INVERSIONES!J54</f>
        <v>0</v>
      </c>
      <c r="K6" s="95"/>
      <c r="M6" s="116"/>
    </row>
    <row r="7" spans="2:29" s="15" customFormat="1" x14ac:dyDescent="0.2">
      <c r="B7" s="48" t="s">
        <v>154</v>
      </c>
      <c r="C7" s="115"/>
      <c r="D7" s="115">
        <f>C7+INVERSIONES!J46</f>
        <v>0</v>
      </c>
      <c r="E7" s="115">
        <f>D7+INVERSIONES!K46</f>
        <v>0</v>
      </c>
      <c r="F7" s="115">
        <f>E7+INVERSIONES!L46</f>
        <v>0</v>
      </c>
      <c r="G7" s="115">
        <f>F7+INVERSIONES!M46</f>
        <v>0</v>
      </c>
      <c r="H7" s="115">
        <f>G7+INVERSIONES!N46</f>
        <v>0</v>
      </c>
      <c r="I7" s="115">
        <f>H7+INVERSIONES!O46</f>
        <v>0</v>
      </c>
      <c r="J7" s="279">
        <f>I7+INVERSIONES!P46</f>
        <v>0</v>
      </c>
      <c r="K7" s="95"/>
      <c r="M7" s="116"/>
    </row>
    <row r="8" spans="2:29" s="14" customFormat="1" x14ac:dyDescent="0.2">
      <c r="B8" s="61" t="s">
        <v>155</v>
      </c>
      <c r="C8" s="297">
        <f>C4-C5+C6-C7</f>
        <v>0</v>
      </c>
      <c r="D8" s="297">
        <f t="shared" ref="D8:J8" si="1">D4-D5+D6-D7</f>
        <v>0</v>
      </c>
      <c r="E8" s="297">
        <f t="shared" si="1"/>
        <v>0</v>
      </c>
      <c r="F8" s="297">
        <f t="shared" si="1"/>
        <v>0</v>
      </c>
      <c r="G8" s="297">
        <f t="shared" si="1"/>
        <v>0</v>
      </c>
      <c r="H8" s="297">
        <f t="shared" si="1"/>
        <v>0</v>
      </c>
      <c r="I8" s="297">
        <f t="shared" si="1"/>
        <v>0</v>
      </c>
      <c r="J8" s="298">
        <f t="shared" si="1"/>
        <v>0</v>
      </c>
      <c r="K8" s="95"/>
      <c r="L8" s="15"/>
      <c r="M8" s="87"/>
    </row>
    <row r="9" spans="2:29" s="15" customFormat="1" x14ac:dyDescent="0.2">
      <c r="B9" s="48" t="s">
        <v>157</v>
      </c>
      <c r="C9" s="115">
        <f>INCO!C92</f>
        <v>0</v>
      </c>
      <c r="D9" s="115">
        <f>INCO!D92</f>
        <v>0</v>
      </c>
      <c r="E9" s="115">
        <f>INCO!E92</f>
        <v>0</v>
      </c>
      <c r="F9" s="115">
        <f>INCO!F92</f>
        <v>0</v>
      </c>
      <c r="G9" s="115">
        <f>INCO!G92</f>
        <v>0</v>
      </c>
      <c r="H9" s="115">
        <f>INCO!H92</f>
        <v>0</v>
      </c>
      <c r="I9" s="115">
        <f>INCO!I92</f>
        <v>0</v>
      </c>
      <c r="J9" s="279">
        <f>INCO!J92</f>
        <v>0</v>
      </c>
      <c r="K9" s="95"/>
      <c r="M9" s="116"/>
    </row>
    <row r="10" spans="2:29" s="15" customFormat="1" x14ac:dyDescent="0.2">
      <c r="B10" s="48" t="s">
        <v>156</v>
      </c>
      <c r="C10" s="115"/>
      <c r="D10" s="115">
        <f>INCO!D89</f>
        <v>0</v>
      </c>
      <c r="E10" s="115">
        <f>INCO!E89</f>
        <v>0</v>
      </c>
      <c r="F10" s="115">
        <f>INCO!F89</f>
        <v>0</v>
      </c>
      <c r="G10" s="115">
        <f>INCO!G89</f>
        <v>0</v>
      </c>
      <c r="H10" s="115">
        <f>INCO!H89</f>
        <v>0</v>
      </c>
      <c r="I10" s="115">
        <f>INCO!I89</f>
        <v>0</v>
      </c>
      <c r="J10" s="279">
        <f>INCO!J89</f>
        <v>0</v>
      </c>
      <c r="K10" s="95"/>
      <c r="M10" s="116"/>
    </row>
    <row r="11" spans="2:29" s="15" customFormat="1" x14ac:dyDescent="0.2">
      <c r="B11" s="48" t="s">
        <v>158</v>
      </c>
      <c r="C11" s="115"/>
      <c r="D11" s="115">
        <f>INPUTS!$C$91/12*INCO!D40</f>
        <v>0</v>
      </c>
      <c r="E11" s="115">
        <f>INPUTS!$C$91/12*INCO!E40</f>
        <v>0</v>
      </c>
      <c r="F11" s="115">
        <f>INPUTS!$C$91/12*INCO!F40</f>
        <v>0</v>
      </c>
      <c r="G11" s="115">
        <f>INPUTS!$C$91/12*INCO!G40</f>
        <v>0</v>
      </c>
      <c r="H11" s="115">
        <f>INPUTS!$C$91/12*INCO!H40</f>
        <v>0</v>
      </c>
      <c r="I11" s="115">
        <f>INPUTS!$C$91/12*INCO!I40</f>
        <v>0</v>
      </c>
      <c r="J11" s="279">
        <f>INPUTS!$C$91/12*INCO!J40</f>
        <v>0</v>
      </c>
      <c r="K11" s="95"/>
      <c r="M11" s="116"/>
    </row>
    <row r="12" spans="2:29" s="15" customFormat="1" x14ac:dyDescent="0.2">
      <c r="B12" s="48" t="s">
        <v>159</v>
      </c>
      <c r="C12" s="115">
        <f>INVERSIONES!C57</f>
        <v>0</v>
      </c>
      <c r="D12" s="115">
        <f>INVERSIONES!D57</f>
        <v>0</v>
      </c>
      <c r="E12" s="115">
        <f>INVERSIONES!E57</f>
        <v>0</v>
      </c>
      <c r="F12" s="115">
        <f>INVERSIONES!F57</f>
        <v>0</v>
      </c>
      <c r="G12" s="115">
        <f>INVERSIONES!G57</f>
        <v>0</v>
      </c>
      <c r="H12" s="115">
        <f>INVERSIONES!H57</f>
        <v>0</v>
      </c>
      <c r="I12" s="115">
        <f>INVERSIONES!I57</f>
        <v>0</v>
      </c>
      <c r="J12" s="279">
        <f>INVERSIONES!J57</f>
        <v>0</v>
      </c>
      <c r="K12" s="95"/>
      <c r="M12" s="116"/>
    </row>
    <row r="13" spans="2:29" s="15" customFormat="1" x14ac:dyDescent="0.2">
      <c r="B13" s="48" t="s">
        <v>104</v>
      </c>
      <c r="C13" s="115">
        <f>INPUTS!$C$94/12*INCO!D79</f>
        <v>0</v>
      </c>
      <c r="D13" s="115">
        <f>INPUTS!$C$94/12*INCO!E79</f>
        <v>0</v>
      </c>
      <c r="E13" s="115">
        <f>INPUTS!$C$94/12*INCO!F79</f>
        <v>0</v>
      </c>
      <c r="F13" s="115">
        <f>INPUTS!$C$94/12*INCO!G79</f>
        <v>0</v>
      </c>
      <c r="G13" s="115">
        <f>INPUTS!$C$94/12*INCO!H79</f>
        <v>0</v>
      </c>
      <c r="H13" s="115">
        <f>INPUTS!$C$94/12*INCO!I79</f>
        <v>0</v>
      </c>
      <c r="I13" s="115">
        <f>INPUTS!$C$94/12*INCO!J79</f>
        <v>0</v>
      </c>
      <c r="J13" s="279">
        <f>INPUTS!$C$94/12*INCO!K79</f>
        <v>0</v>
      </c>
      <c r="K13" s="95"/>
      <c r="M13" s="116"/>
    </row>
    <row r="14" spans="2:29" s="15" customFormat="1" x14ac:dyDescent="0.2">
      <c r="B14" s="48" t="s">
        <v>160</v>
      </c>
      <c r="C14" s="115">
        <f>C29-C8-C9-C10-C11-C12-C13</f>
        <v>0</v>
      </c>
      <c r="D14" s="115">
        <f t="shared" ref="D14:J14" si="2">D29-D8-D9-D10-D11-D12-D13</f>
        <v>0</v>
      </c>
      <c r="E14" s="115">
        <f t="shared" si="2"/>
        <v>0</v>
      </c>
      <c r="F14" s="115">
        <f t="shared" si="2"/>
        <v>0</v>
      </c>
      <c r="G14" s="115">
        <f t="shared" si="2"/>
        <v>0</v>
      </c>
      <c r="H14" s="115">
        <f t="shared" si="2"/>
        <v>0</v>
      </c>
      <c r="I14" s="115">
        <f t="shared" si="2"/>
        <v>0</v>
      </c>
      <c r="J14" s="279">
        <f t="shared" si="2"/>
        <v>0</v>
      </c>
      <c r="K14" s="95"/>
      <c r="M14" s="116"/>
    </row>
    <row r="15" spans="2:29" s="14" customFormat="1" x14ac:dyDescent="0.2">
      <c r="B15" s="61" t="s">
        <v>161</v>
      </c>
      <c r="C15" s="297">
        <f>SUM(C9:C14)</f>
        <v>0</v>
      </c>
      <c r="D15" s="297">
        <f t="shared" ref="D15:J15" si="3">SUM(D9:D14)</f>
        <v>0</v>
      </c>
      <c r="E15" s="297">
        <f t="shared" si="3"/>
        <v>0</v>
      </c>
      <c r="F15" s="297">
        <f t="shared" si="3"/>
        <v>0</v>
      </c>
      <c r="G15" s="297">
        <f t="shared" si="3"/>
        <v>0</v>
      </c>
      <c r="H15" s="297">
        <f t="shared" si="3"/>
        <v>0</v>
      </c>
      <c r="I15" s="297">
        <f t="shared" si="3"/>
        <v>0</v>
      </c>
      <c r="J15" s="298">
        <f t="shared" si="3"/>
        <v>0</v>
      </c>
      <c r="K15" s="95"/>
      <c r="L15" s="15"/>
      <c r="M15" s="87"/>
    </row>
    <row r="16" spans="2:29" s="14" customFormat="1" ht="10.8" thickBot="1" x14ac:dyDescent="0.25">
      <c r="B16" s="62" t="s">
        <v>162</v>
      </c>
      <c r="C16" s="299">
        <f>C8+C15</f>
        <v>0</v>
      </c>
      <c r="D16" s="299">
        <f t="shared" ref="D16:J16" si="4">D8+D15</f>
        <v>0</v>
      </c>
      <c r="E16" s="299">
        <f t="shared" si="4"/>
        <v>0</v>
      </c>
      <c r="F16" s="299">
        <f t="shared" si="4"/>
        <v>0</v>
      </c>
      <c r="G16" s="299">
        <f t="shared" si="4"/>
        <v>0</v>
      </c>
      <c r="H16" s="299">
        <f t="shared" si="4"/>
        <v>0</v>
      </c>
      <c r="I16" s="299">
        <f t="shared" si="4"/>
        <v>0</v>
      </c>
      <c r="J16" s="300">
        <f t="shared" si="4"/>
        <v>0</v>
      </c>
      <c r="K16" s="95"/>
      <c r="L16" s="15"/>
      <c r="M16" s="87"/>
    </row>
    <row r="17" spans="1:13" s="15" customFormat="1" ht="10.8" thickBot="1" x14ac:dyDescent="0.25">
      <c r="A17" s="95"/>
      <c r="B17" s="95"/>
      <c r="C17" s="294"/>
      <c r="D17" s="294"/>
      <c r="E17" s="294"/>
      <c r="F17" s="294"/>
      <c r="G17" s="294"/>
      <c r="H17" s="294"/>
      <c r="I17" s="294"/>
      <c r="J17" s="294"/>
      <c r="K17" s="95"/>
      <c r="M17" s="116"/>
    </row>
    <row r="18" spans="1:13" s="15" customFormat="1" x14ac:dyDescent="0.2">
      <c r="B18" s="170" t="s">
        <v>76</v>
      </c>
      <c r="C18" s="301">
        <f>MAX(INPUTS!C55,SUM(C8:C13)-C28-C21-C24)</f>
        <v>0</v>
      </c>
      <c r="D18" s="301">
        <f>MAX(C18,SUM(D8:D13)-D28-D24-D21-D20-D19)</f>
        <v>0</v>
      </c>
      <c r="E18" s="301">
        <f t="shared" ref="E18:I18" si="5">MAX(D18,SUM(E8:E13)-E28-E24-E21-E20-E19)</f>
        <v>0</v>
      </c>
      <c r="F18" s="301">
        <f t="shared" si="5"/>
        <v>0</v>
      </c>
      <c r="G18" s="301">
        <f t="shared" si="5"/>
        <v>0</v>
      </c>
      <c r="H18" s="301">
        <f t="shared" si="5"/>
        <v>0</v>
      </c>
      <c r="I18" s="301">
        <f t="shared" si="5"/>
        <v>0</v>
      </c>
      <c r="J18" s="302">
        <f>MAX(I18,SUM(J8:J13)-J28-J24-J21-J20-J19)</f>
        <v>0</v>
      </c>
      <c r="K18" s="95"/>
      <c r="M18" s="116"/>
    </row>
    <row r="19" spans="1:13" s="15" customFormat="1" x14ac:dyDescent="0.2">
      <c r="B19" s="48" t="s">
        <v>163</v>
      </c>
      <c r="C19" s="115"/>
      <c r="D19" s="115"/>
      <c r="E19" s="115">
        <f>D19+D20-CTA.RES!D18</f>
        <v>0</v>
      </c>
      <c r="F19" s="115">
        <f>E19+E20-CTA.RES!E18</f>
        <v>0</v>
      </c>
      <c r="G19" s="115">
        <f>F19+F20-CTA.RES!F18</f>
        <v>0</v>
      </c>
      <c r="H19" s="115">
        <f>G19+G20-CTA.RES!G18</f>
        <v>0</v>
      </c>
      <c r="I19" s="115">
        <f>H19+H20-CTA.RES!H18</f>
        <v>0</v>
      </c>
      <c r="J19" s="279">
        <f>I19+I20-CTA.RES!I18</f>
        <v>0</v>
      </c>
      <c r="K19" s="95"/>
      <c r="M19" s="116"/>
    </row>
    <row r="20" spans="1:13" s="15" customFormat="1" x14ac:dyDescent="0.2">
      <c r="B20" s="48" t="s">
        <v>149</v>
      </c>
      <c r="C20" s="115"/>
      <c r="D20" s="115">
        <f>CTA.RES!C16</f>
        <v>0</v>
      </c>
      <c r="E20" s="115">
        <f>CTA.RES!D16</f>
        <v>0</v>
      </c>
      <c r="F20" s="115">
        <f>CTA.RES!E16</f>
        <v>0</v>
      </c>
      <c r="G20" s="115">
        <f>CTA.RES!F16</f>
        <v>0</v>
      </c>
      <c r="H20" s="115">
        <f>CTA.RES!G16</f>
        <v>0</v>
      </c>
      <c r="I20" s="115">
        <f>CTA.RES!H16</f>
        <v>0</v>
      </c>
      <c r="J20" s="279">
        <f>CTA.RES!I16</f>
        <v>0</v>
      </c>
      <c r="K20" s="95"/>
      <c r="M20" s="116"/>
    </row>
    <row r="21" spans="1:13" s="15" customFormat="1" x14ac:dyDescent="0.2">
      <c r="B21" s="48" t="s">
        <v>62</v>
      </c>
      <c r="C21" s="115">
        <f>RIESGO!$C$12*INPUTS!C56</f>
        <v>0</v>
      </c>
      <c r="D21" s="115">
        <f>C21+RIESGO!$C$12*INPUTS!D56-CTA.RES!C10</f>
        <v>0</v>
      </c>
      <c r="E21" s="115">
        <f>D21+RIESGO!$C$12*INPUTS!E56-CTA.RES!D10</f>
        <v>0</v>
      </c>
      <c r="F21" s="115">
        <f>E21+RIESGO!$C$12*INPUTS!F56-CTA.RES!E10</f>
        <v>0</v>
      </c>
      <c r="G21" s="115">
        <f>F21+RIESGO!$C$12*INPUTS!G56-CTA.RES!F10</f>
        <v>0</v>
      </c>
      <c r="H21" s="115">
        <f>G21+RIESGO!$C$12*INPUTS!H56-CTA.RES!G10</f>
        <v>0</v>
      </c>
      <c r="I21" s="115">
        <f>H21+RIESGO!$C$12*INPUTS!I56-CTA.RES!H10</f>
        <v>0</v>
      </c>
      <c r="J21" s="279">
        <f>I21+RIESGO!$C$12*INPUTS!J56-CTA.RES!I10</f>
        <v>0</v>
      </c>
      <c r="K21" s="95"/>
      <c r="M21" s="116"/>
    </row>
    <row r="22" spans="1:13" s="14" customFormat="1" x14ac:dyDescent="0.2">
      <c r="B22" s="61" t="s">
        <v>164</v>
      </c>
      <c r="C22" s="297">
        <f>SUM(C18:C21)</f>
        <v>0</v>
      </c>
      <c r="D22" s="297">
        <f t="shared" ref="D22:J22" si="6">SUM(D18:D21)</f>
        <v>0</v>
      </c>
      <c r="E22" s="297">
        <f t="shared" si="6"/>
        <v>0</v>
      </c>
      <c r="F22" s="297">
        <f t="shared" si="6"/>
        <v>0</v>
      </c>
      <c r="G22" s="297">
        <f t="shared" si="6"/>
        <v>0</v>
      </c>
      <c r="H22" s="297">
        <f t="shared" si="6"/>
        <v>0</v>
      </c>
      <c r="I22" s="297">
        <f t="shared" si="6"/>
        <v>0</v>
      </c>
      <c r="J22" s="298">
        <f t="shared" si="6"/>
        <v>0</v>
      </c>
      <c r="K22" s="95"/>
      <c r="L22" s="15"/>
      <c r="M22" s="87"/>
    </row>
    <row r="23" spans="1:13" s="15" customFormat="1" x14ac:dyDescent="0.2">
      <c r="B23" s="48" t="s">
        <v>165</v>
      </c>
      <c r="C23" s="115">
        <f>MAX(0,MIN(INPUTS!$C$49*SUM(BALANCE!C8:C13),SUM(BALANCE!C8:C13)-INPUTS!C55-C21-C28))</f>
        <v>0</v>
      </c>
      <c r="D23" s="115">
        <f>MAX(0,MIN(INPUTS!$C$49*SUM(BALANCE!D8:D13),SUM(BALANCE!D8:D13)-C18-D19-D20-D21-D28))</f>
        <v>0</v>
      </c>
      <c r="E23" s="115">
        <f>MAX(0,MIN(INPUTS!$C$49*SUM(BALANCE!E8:E13),SUM(BALANCE!E8:E13)-D18-E19-E20-E21-E28))</f>
        <v>0</v>
      </c>
      <c r="F23" s="115">
        <f>MAX(0,MIN(INPUTS!$C$49*SUM(BALANCE!F8:F13),SUM(BALANCE!F8:F13)-E18-F19-F20-F21-F28))</f>
        <v>0</v>
      </c>
      <c r="G23" s="115">
        <f>MAX(0,MIN(INPUTS!$C$49*SUM(BALANCE!G8:G13),SUM(BALANCE!G8:G13)-F18-G19-G20-G21-G28))</f>
        <v>0</v>
      </c>
      <c r="H23" s="115">
        <f>MAX(0,MIN(INPUTS!$C$49*SUM(BALANCE!H8:H13),SUM(BALANCE!H8:H13)-G18-H19-H20-H21-H28))</f>
        <v>0</v>
      </c>
      <c r="I23" s="115">
        <f>MAX(0,MIN(INPUTS!$C$49*SUM(BALANCE!I8:I13),SUM(BALANCE!I8:I13)-H18-I19-I20-I21-I28))</f>
        <v>0</v>
      </c>
      <c r="J23" s="279">
        <f>MAX(0,MIN(INPUTS!$C$49*SUM(BALANCE!J8:J13),SUM(BALANCE!J8:J13)-I18-J19-J20-J21-J28))</f>
        <v>0</v>
      </c>
      <c r="K23" s="95"/>
      <c r="M23" s="116"/>
    </row>
    <row r="24" spans="1:13" x14ac:dyDescent="0.2">
      <c r="B24" s="61" t="s">
        <v>166</v>
      </c>
      <c r="C24" s="297">
        <f>C23</f>
        <v>0</v>
      </c>
      <c r="D24" s="297">
        <f t="shared" ref="D24:J24" si="7">D23</f>
        <v>0</v>
      </c>
      <c r="E24" s="297">
        <f t="shared" si="7"/>
        <v>0</v>
      </c>
      <c r="F24" s="297">
        <f t="shared" si="7"/>
        <v>0</v>
      </c>
      <c r="G24" s="297">
        <f t="shared" si="7"/>
        <v>0</v>
      </c>
      <c r="H24" s="297">
        <f t="shared" si="7"/>
        <v>0</v>
      </c>
      <c r="I24" s="297">
        <f t="shared" si="7"/>
        <v>0</v>
      </c>
      <c r="J24" s="298">
        <f t="shared" si="7"/>
        <v>0</v>
      </c>
      <c r="K24" s="95"/>
      <c r="L24" s="15"/>
    </row>
    <row r="25" spans="1:13" s="15" customFormat="1" x14ac:dyDescent="0.2">
      <c r="B25" s="48" t="s">
        <v>167</v>
      </c>
      <c r="C25" s="115">
        <f>IF(INPUTS!C89&gt;0,INCO!C94,0)</f>
        <v>0</v>
      </c>
      <c r="D25" s="115">
        <f>INPUTS!$C$89/12*INCO!D94</f>
        <v>0</v>
      </c>
      <c r="E25" s="115">
        <f>INPUTS!$C$89/12*INCO!E94</f>
        <v>0</v>
      </c>
      <c r="F25" s="115">
        <f>INPUTS!$C$89/12*INCO!F94</f>
        <v>0</v>
      </c>
      <c r="G25" s="115">
        <f>INPUTS!$C$89/12*INCO!G94</f>
        <v>0</v>
      </c>
      <c r="H25" s="115">
        <f>INPUTS!$C$89/12*INCO!H94</f>
        <v>0</v>
      </c>
      <c r="I25" s="115">
        <f>INPUTS!$C$89/12*INCO!I94</f>
        <v>0</v>
      </c>
      <c r="J25" s="279">
        <f>INPUTS!$C$89/12*INCO!J94</f>
        <v>0</v>
      </c>
      <c r="K25" s="95"/>
      <c r="M25" s="116"/>
    </row>
    <row r="26" spans="1:13" s="15" customFormat="1" x14ac:dyDescent="0.2">
      <c r="B26" s="48" t="s">
        <v>168</v>
      </c>
      <c r="C26" s="115"/>
      <c r="D26" s="115">
        <f>INPUTS!$C$90/12*INCO!D95</f>
        <v>0</v>
      </c>
      <c r="E26" s="115">
        <f>INPUTS!$C$90/12*INCO!E95</f>
        <v>0</v>
      </c>
      <c r="F26" s="115">
        <f>INPUTS!$C$90/12*INCO!F95</f>
        <v>0</v>
      </c>
      <c r="G26" s="115">
        <f>INPUTS!$C$90/12*INCO!G95</f>
        <v>0</v>
      </c>
      <c r="H26" s="115">
        <f>INPUTS!$C$90/12*INCO!H95</f>
        <v>0</v>
      </c>
      <c r="I26" s="115">
        <f>INPUTS!$C$90/12*INCO!I95</f>
        <v>0</v>
      </c>
      <c r="J26" s="279">
        <f>INPUTS!$C$90/12*INCO!J95</f>
        <v>0</v>
      </c>
      <c r="K26" s="95"/>
      <c r="L26" s="2"/>
      <c r="M26" s="116"/>
    </row>
    <row r="27" spans="1:13" s="15" customFormat="1" x14ac:dyDescent="0.2">
      <c r="B27" s="48" t="s">
        <v>169</v>
      </c>
      <c r="C27" s="115"/>
      <c r="D27" s="115">
        <f>CTA.RES!C15</f>
        <v>0</v>
      </c>
      <c r="E27" s="115">
        <f>CTA.RES!D15</f>
        <v>0</v>
      </c>
      <c r="F27" s="115">
        <f>CTA.RES!E15</f>
        <v>0</v>
      </c>
      <c r="G27" s="115">
        <f>CTA.RES!F15</f>
        <v>0</v>
      </c>
      <c r="H27" s="115">
        <f>CTA.RES!G15</f>
        <v>0</v>
      </c>
      <c r="I27" s="115">
        <f>CTA.RES!H15</f>
        <v>0</v>
      </c>
      <c r="J27" s="279">
        <f>CTA.RES!I15</f>
        <v>0</v>
      </c>
      <c r="K27" s="95"/>
      <c r="L27" s="20"/>
      <c r="M27" s="116"/>
    </row>
    <row r="28" spans="1:13" s="14" customFormat="1" x14ac:dyDescent="0.2">
      <c r="B28" s="61" t="s">
        <v>170</v>
      </c>
      <c r="C28" s="297">
        <f>SUM(C25:C27)</f>
        <v>0</v>
      </c>
      <c r="D28" s="297">
        <f t="shared" ref="D28:J28" si="8">SUM(D25:D27)</f>
        <v>0</v>
      </c>
      <c r="E28" s="297">
        <f t="shared" si="8"/>
        <v>0</v>
      </c>
      <c r="F28" s="297">
        <f t="shared" si="8"/>
        <v>0</v>
      </c>
      <c r="G28" s="297">
        <f t="shared" si="8"/>
        <v>0</v>
      </c>
      <c r="H28" s="297">
        <f t="shared" si="8"/>
        <v>0</v>
      </c>
      <c r="I28" s="297">
        <f t="shared" si="8"/>
        <v>0</v>
      </c>
      <c r="J28" s="298">
        <f t="shared" si="8"/>
        <v>0</v>
      </c>
      <c r="K28" s="95"/>
      <c r="L28" s="2"/>
      <c r="M28" s="87"/>
    </row>
    <row r="29" spans="1:13" s="14" customFormat="1" ht="10.8" thickBot="1" x14ac:dyDescent="0.25">
      <c r="B29" s="62" t="s">
        <v>171</v>
      </c>
      <c r="C29" s="299">
        <f>C22+C24+C28</f>
        <v>0</v>
      </c>
      <c r="D29" s="299">
        <f t="shared" ref="D29:J29" si="9">D22+D24+D28</f>
        <v>0</v>
      </c>
      <c r="E29" s="299">
        <f t="shared" si="9"/>
        <v>0</v>
      </c>
      <c r="F29" s="299">
        <f t="shared" si="9"/>
        <v>0</v>
      </c>
      <c r="G29" s="299">
        <f t="shared" si="9"/>
        <v>0</v>
      </c>
      <c r="H29" s="299">
        <f t="shared" si="9"/>
        <v>0</v>
      </c>
      <c r="I29" s="299">
        <f t="shared" si="9"/>
        <v>0</v>
      </c>
      <c r="J29" s="300">
        <f t="shared" si="9"/>
        <v>0</v>
      </c>
      <c r="K29" s="95"/>
      <c r="L29" s="2"/>
      <c r="M29" s="87"/>
    </row>
    <row r="30" spans="1:13" x14ac:dyDescent="0.2">
      <c r="B30" s="1" t="s">
        <v>21</v>
      </c>
      <c r="C30" s="115" t="str">
        <f t="shared" ref="C30:J30" si="10">IF(ABS(C16-C29)&lt;1,"OK","Error")</f>
        <v>OK</v>
      </c>
      <c r="D30" s="115" t="str">
        <f t="shared" si="10"/>
        <v>OK</v>
      </c>
      <c r="E30" s="115" t="str">
        <f t="shared" si="10"/>
        <v>OK</v>
      </c>
      <c r="F30" s="115" t="str">
        <f t="shared" si="10"/>
        <v>OK</v>
      </c>
      <c r="G30" s="115" t="str">
        <f t="shared" si="10"/>
        <v>OK</v>
      </c>
      <c r="H30" s="115" t="str">
        <f t="shared" si="10"/>
        <v>OK</v>
      </c>
      <c r="I30" s="115" t="str">
        <f t="shared" si="10"/>
        <v>OK</v>
      </c>
      <c r="J30" s="115" t="str">
        <f t="shared" si="10"/>
        <v>OK</v>
      </c>
      <c r="K30" s="30"/>
    </row>
    <row r="31" spans="1:13" ht="10.8" thickBot="1" x14ac:dyDescent="0.25">
      <c r="C31" s="103"/>
      <c r="D31" s="103"/>
      <c r="E31" s="103"/>
      <c r="F31" s="103"/>
      <c r="G31" s="103"/>
      <c r="H31" s="103"/>
      <c r="I31" s="103"/>
      <c r="J31" s="103"/>
      <c r="K31" s="95"/>
    </row>
    <row r="32" spans="1:13" x14ac:dyDescent="0.2">
      <c r="B32" s="44" t="s">
        <v>20</v>
      </c>
      <c r="C32" s="317" t="e">
        <f>C24/SUM(C8:C13)</f>
        <v>#DIV/0!</v>
      </c>
      <c r="D32" s="317" t="e">
        <f t="shared" ref="D32:J32" si="11">D24/SUM(D8:D13)</f>
        <v>#DIV/0!</v>
      </c>
      <c r="E32" s="317" t="e">
        <f t="shared" si="11"/>
        <v>#DIV/0!</v>
      </c>
      <c r="F32" s="317" t="e">
        <f t="shared" si="11"/>
        <v>#DIV/0!</v>
      </c>
      <c r="G32" s="317" t="e">
        <f t="shared" si="11"/>
        <v>#DIV/0!</v>
      </c>
      <c r="H32" s="317" t="e">
        <f t="shared" si="11"/>
        <v>#DIV/0!</v>
      </c>
      <c r="I32" s="317" t="e">
        <f t="shared" si="11"/>
        <v>#DIV/0!</v>
      </c>
      <c r="J32" s="318" t="e">
        <f t="shared" si="11"/>
        <v>#DIV/0!</v>
      </c>
      <c r="K32" s="95"/>
    </row>
    <row r="33" spans="2:12" x14ac:dyDescent="0.2">
      <c r="B33" s="36" t="s">
        <v>34</v>
      </c>
      <c r="C33" s="115">
        <f>C9+C10+C11+C12+C13-C28</f>
        <v>0</v>
      </c>
      <c r="D33" s="115">
        <f t="shared" ref="D33:J33" si="12">D9+D10+D11+D12+D13-D28</f>
        <v>0</v>
      </c>
      <c r="E33" s="115">
        <f t="shared" si="12"/>
        <v>0</v>
      </c>
      <c r="F33" s="115">
        <f t="shared" si="12"/>
        <v>0</v>
      </c>
      <c r="G33" s="115">
        <f t="shared" si="12"/>
        <v>0</v>
      </c>
      <c r="H33" s="115">
        <f t="shared" si="12"/>
        <v>0</v>
      </c>
      <c r="I33" s="115">
        <f t="shared" si="12"/>
        <v>0</v>
      </c>
      <c r="J33" s="279">
        <f t="shared" si="12"/>
        <v>0</v>
      </c>
      <c r="K33" s="30"/>
      <c r="L33" s="30"/>
    </row>
    <row r="34" spans="2:12" ht="10.8" thickBot="1" x14ac:dyDescent="0.25">
      <c r="B34" s="39" t="s">
        <v>189</v>
      </c>
      <c r="C34" s="319">
        <f>C24-C14</f>
        <v>0</v>
      </c>
      <c r="D34" s="319">
        <f t="shared" ref="D34:J34" si="13">D24-D14</f>
        <v>0</v>
      </c>
      <c r="E34" s="319">
        <f t="shared" si="13"/>
        <v>0</v>
      </c>
      <c r="F34" s="319">
        <f t="shared" si="13"/>
        <v>0</v>
      </c>
      <c r="G34" s="319">
        <f t="shared" si="13"/>
        <v>0</v>
      </c>
      <c r="H34" s="319">
        <f t="shared" si="13"/>
        <v>0</v>
      </c>
      <c r="I34" s="319">
        <f t="shared" si="13"/>
        <v>0</v>
      </c>
      <c r="J34" s="320">
        <f t="shared" si="13"/>
        <v>0</v>
      </c>
      <c r="K34" s="30"/>
      <c r="L34" s="30"/>
    </row>
    <row r="35" spans="2:12" x14ac:dyDescent="0.2">
      <c r="B35" s="1"/>
      <c r="C35" s="115"/>
      <c r="D35" s="115"/>
      <c r="E35" s="115"/>
      <c r="F35" s="115"/>
      <c r="G35" s="115"/>
      <c r="H35" s="115"/>
      <c r="I35" s="115"/>
      <c r="J35" s="115"/>
      <c r="K35" s="30"/>
      <c r="L35" s="30"/>
    </row>
    <row r="36" spans="2:12" ht="10.8" thickBot="1" x14ac:dyDescent="0.25">
      <c r="B36" s="295" t="s">
        <v>124</v>
      </c>
      <c r="C36" s="296" t="s">
        <v>230</v>
      </c>
      <c r="D36" s="296">
        <f t="shared" ref="D36:J36" si="14">D3</f>
        <v>1</v>
      </c>
      <c r="E36" s="296">
        <f t="shared" si="14"/>
        <v>2</v>
      </c>
      <c r="F36" s="296">
        <f t="shared" si="14"/>
        <v>3</v>
      </c>
      <c r="G36" s="296">
        <f t="shared" si="14"/>
        <v>4</v>
      </c>
      <c r="H36" s="296">
        <f t="shared" si="14"/>
        <v>5</v>
      </c>
      <c r="I36" s="296">
        <f t="shared" si="14"/>
        <v>6</v>
      </c>
      <c r="J36" s="296">
        <f t="shared" si="14"/>
        <v>7</v>
      </c>
    </row>
    <row r="37" spans="2:12" x14ac:dyDescent="0.2">
      <c r="B37" s="192" t="s">
        <v>76</v>
      </c>
      <c r="C37" s="180">
        <f>C18</f>
        <v>0</v>
      </c>
      <c r="D37" s="180">
        <f t="shared" ref="D37:J37" si="15">D18-C18</f>
        <v>0</v>
      </c>
      <c r="E37" s="180">
        <f t="shared" si="15"/>
        <v>0</v>
      </c>
      <c r="F37" s="180">
        <f t="shared" si="15"/>
        <v>0</v>
      </c>
      <c r="G37" s="180">
        <f t="shared" si="15"/>
        <v>0</v>
      </c>
      <c r="H37" s="180">
        <f t="shared" si="15"/>
        <v>0</v>
      </c>
      <c r="I37" s="180">
        <f t="shared" si="15"/>
        <v>0</v>
      </c>
      <c r="J37" s="181">
        <f t="shared" si="15"/>
        <v>0</v>
      </c>
    </row>
    <row r="38" spans="2:12" x14ac:dyDescent="0.2">
      <c r="B38" s="69" t="s">
        <v>77</v>
      </c>
      <c r="C38" s="106">
        <f>C21</f>
        <v>0</v>
      </c>
      <c r="D38" s="106">
        <f>MAX(0,D21-C21+CTA.RES!C10)</f>
        <v>0</v>
      </c>
      <c r="E38" s="106">
        <f>MAX(0,E21-D21+CTA.RES!D10)</f>
        <v>0</v>
      </c>
      <c r="F38" s="106">
        <f>MAX(0,F21-E21+CTA.RES!E10)</f>
        <v>0</v>
      </c>
      <c r="G38" s="106">
        <f>MAX(0,G21-F21+CTA.RES!F10)</f>
        <v>0</v>
      </c>
      <c r="H38" s="106">
        <f>MAX(0,H21-G21+CTA.RES!G10)</f>
        <v>0</v>
      </c>
      <c r="I38" s="106">
        <f>MAX(0,I21-H21+CTA.RES!H10)</f>
        <v>0</v>
      </c>
      <c r="J38" s="173">
        <f>MAX(0,J21-I21+CTA.RES!I10)</f>
        <v>0</v>
      </c>
    </row>
    <row r="39" spans="2:12" ht="10.8" thickBot="1" x14ac:dyDescent="0.25">
      <c r="B39" s="82" t="s">
        <v>165</v>
      </c>
      <c r="C39" s="182">
        <f>C24</f>
        <v>0</v>
      </c>
      <c r="D39" s="182">
        <f>MAX(0,D24-C24)</f>
        <v>0</v>
      </c>
      <c r="E39" s="182">
        <f t="shared" ref="E39:J39" si="16">MAX(0,E24-D24)</f>
        <v>0</v>
      </c>
      <c r="F39" s="182">
        <f t="shared" si="16"/>
        <v>0</v>
      </c>
      <c r="G39" s="182">
        <f t="shared" si="16"/>
        <v>0</v>
      </c>
      <c r="H39" s="182">
        <f t="shared" si="16"/>
        <v>0</v>
      </c>
      <c r="I39" s="182">
        <f t="shared" si="16"/>
        <v>0</v>
      </c>
      <c r="J39" s="183">
        <f t="shared" si="16"/>
        <v>0</v>
      </c>
    </row>
    <row r="47" spans="2:12" x14ac:dyDescent="0.2">
      <c r="C47" s="26"/>
      <c r="D47" s="26"/>
      <c r="E47" s="26"/>
      <c r="F47" s="26"/>
      <c r="G47" s="26"/>
      <c r="H47" s="26"/>
      <c r="I47" s="26"/>
      <c r="J47" s="26"/>
      <c r="K47" s="26"/>
    </row>
    <row r="73" spans="3:4" x14ac:dyDescent="0.2">
      <c r="C73" s="26"/>
      <c r="D73" s="26"/>
    </row>
    <row r="75" spans="3:4" x14ac:dyDescent="0.2">
      <c r="C75" s="26"/>
      <c r="D75" s="26"/>
    </row>
    <row r="76" spans="3:4" x14ac:dyDescent="0.2">
      <c r="C76" s="26"/>
      <c r="D76" s="26"/>
    </row>
  </sheetData>
  <customSheetViews>
    <customSheetView guid="{D4D7EB23-CC17-11D2-866F-0020AFB54048}" showRuler="0" topLeftCell="A7">
      <selection activeCell="A30" sqref="A30"/>
      <pageMargins left="0.75" right="0.75" top="1" bottom="1" header="0" footer="0"/>
      <pageSetup paperSize="9" orientation="portrait" r:id="rId1"/>
      <headerFooter alignWithMargins="0"/>
    </customSheetView>
    <customSheetView guid="{D4D7EB24-CC17-11D2-866F-0020AFB54048}" showRuler="0" topLeftCell="A7">
      <selection activeCell="A30" sqref="A30"/>
      <pageMargins left="0.75" right="0.75" top="1" bottom="1" header="0" footer="0"/>
      <pageSetup paperSize="9" orientation="portrait" r:id="rId2"/>
      <headerFooter alignWithMargins="0"/>
    </customSheetView>
  </customSheetViews>
  <phoneticPr fontId="4" type="noConversion"/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drawing r:id="rId4"/>
  <legacy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Y36"/>
  <sheetViews>
    <sheetView showGridLines="0" zoomScale="120" zoomScaleNormal="120" workbookViewId="0">
      <pane ySplit="3" topLeftCell="A4" activePane="bottomLeft" state="frozen"/>
      <selection pane="bottomLeft" activeCell="D32" sqref="D32"/>
    </sheetView>
  </sheetViews>
  <sheetFormatPr baseColWidth="10" defaultColWidth="11.44140625" defaultRowHeight="10.199999999999999" x14ac:dyDescent="0.2"/>
  <cols>
    <col min="1" max="1" width="2.109375" style="2" customWidth="1"/>
    <col min="2" max="2" width="27.33203125" style="2" customWidth="1"/>
    <col min="3" max="10" width="8.33203125" style="103" customWidth="1"/>
    <col min="11" max="11" width="11.88671875" style="2" customWidth="1"/>
    <col min="12" max="16384" width="11.44140625" style="2"/>
  </cols>
  <sheetData>
    <row r="1" spans="1:25" ht="6.6" customHeight="1" thickBot="1" x14ac:dyDescent="0.25"/>
    <row r="2" spans="1:25" ht="10.8" thickBot="1" x14ac:dyDescent="0.25">
      <c r="C2" s="339" t="str">
        <f>RIESGO!C6</f>
        <v>Escenario  Base</v>
      </c>
      <c r="D2" s="306"/>
      <c r="F2" s="94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5"/>
      <c r="W2" s="15"/>
      <c r="X2" s="15"/>
      <c r="Y2" s="15"/>
    </row>
    <row r="3" spans="1:25" x14ac:dyDescent="0.2">
      <c r="B3" s="190"/>
      <c r="C3" s="307" t="str">
        <f>BALANCE!C3</f>
        <v>Inicio</v>
      </c>
      <c r="D3" s="307">
        <f>BALANCE!D3</f>
        <v>1</v>
      </c>
      <c r="E3" s="307">
        <f>BALANCE!E3</f>
        <v>2</v>
      </c>
      <c r="F3" s="307">
        <f>BALANCE!F3</f>
        <v>3</v>
      </c>
      <c r="G3" s="307">
        <f>BALANCE!G3</f>
        <v>4</v>
      </c>
      <c r="H3" s="307">
        <f>BALANCE!H3</f>
        <v>5</v>
      </c>
      <c r="I3" s="307">
        <f>BALANCE!I3</f>
        <v>6</v>
      </c>
      <c r="J3" s="308">
        <f>BALANCE!J3</f>
        <v>7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</row>
    <row r="4" spans="1:25" s="13" customFormat="1" x14ac:dyDescent="0.2">
      <c r="B4" s="90" t="s">
        <v>172</v>
      </c>
      <c r="C4" s="109">
        <f>C6</f>
        <v>0</v>
      </c>
      <c r="D4" s="109">
        <f>D5+D6</f>
        <v>0</v>
      </c>
      <c r="E4" s="109">
        <f t="shared" ref="E4:J4" si="0">E5+E6</f>
        <v>0</v>
      </c>
      <c r="F4" s="109">
        <f t="shared" si="0"/>
        <v>0</v>
      </c>
      <c r="G4" s="109">
        <f t="shared" si="0"/>
        <v>0</v>
      </c>
      <c r="H4" s="109">
        <f t="shared" si="0"/>
        <v>0</v>
      </c>
      <c r="I4" s="109">
        <f t="shared" si="0"/>
        <v>0</v>
      </c>
      <c r="J4" s="278">
        <f t="shared" si="0"/>
        <v>0</v>
      </c>
      <c r="K4" s="2"/>
      <c r="L4" s="125"/>
      <c r="M4" s="125"/>
      <c r="N4" s="125"/>
      <c r="O4" s="125"/>
      <c r="P4" s="125"/>
      <c r="Q4" s="125"/>
      <c r="R4" s="125"/>
      <c r="S4" s="125"/>
      <c r="T4" s="125"/>
      <c r="U4" s="125"/>
    </row>
    <row r="5" spans="1:25" s="13" customFormat="1" x14ac:dyDescent="0.2">
      <c r="B5" s="48" t="s">
        <v>90</v>
      </c>
      <c r="C5" s="115"/>
      <c r="D5" s="115">
        <f>CTA.RES!C5</f>
        <v>0</v>
      </c>
      <c r="E5" s="115">
        <f>CTA.RES!D5</f>
        <v>0</v>
      </c>
      <c r="F5" s="115">
        <f>CTA.RES!E5</f>
        <v>0</v>
      </c>
      <c r="G5" s="115">
        <f>CTA.RES!F5</f>
        <v>0</v>
      </c>
      <c r="H5" s="115">
        <f>CTA.RES!G5</f>
        <v>0</v>
      </c>
      <c r="I5" s="115">
        <f>CTA.RES!H5</f>
        <v>0</v>
      </c>
      <c r="J5" s="279">
        <f>CTA.RES!I5</f>
        <v>0</v>
      </c>
      <c r="K5" s="2"/>
      <c r="L5" s="125"/>
      <c r="M5" s="125"/>
      <c r="N5" s="125"/>
      <c r="O5" s="125"/>
      <c r="P5" s="125"/>
      <c r="Q5" s="125"/>
      <c r="R5" s="125"/>
      <c r="S5" s="125"/>
      <c r="T5" s="125"/>
      <c r="U5" s="125"/>
    </row>
    <row r="6" spans="1:25" s="13" customFormat="1" x14ac:dyDescent="0.2">
      <c r="B6" s="69" t="s">
        <v>173</v>
      </c>
      <c r="C6" s="309"/>
      <c r="D6" s="309">
        <f>INCO!D40-BALANCE!D11</f>
        <v>0</v>
      </c>
      <c r="E6" s="309">
        <f>INCO!E40-BALANCE!E11+BALANCE!D11</f>
        <v>0</v>
      </c>
      <c r="F6" s="309">
        <f>INCO!F40-BALANCE!F11+BALANCE!E11</f>
        <v>0</v>
      </c>
      <c r="G6" s="309">
        <f>INCO!G40-BALANCE!G11+BALANCE!F11</f>
        <v>0</v>
      </c>
      <c r="H6" s="309">
        <f>INCO!H40-BALANCE!H11+BALANCE!G11</f>
        <v>0</v>
      </c>
      <c r="I6" s="309">
        <f>INCO!I40-BALANCE!I11+BALANCE!H11</f>
        <v>0</v>
      </c>
      <c r="J6" s="310">
        <f>INCO!J40-BALANCE!J11+BALANCE!I11</f>
        <v>0</v>
      </c>
      <c r="K6" s="2"/>
      <c r="L6" s="125"/>
      <c r="M6" s="125"/>
      <c r="N6" s="125"/>
      <c r="O6" s="125"/>
      <c r="P6" s="125"/>
      <c r="Q6" s="125"/>
      <c r="R6" s="125"/>
      <c r="S6" s="125"/>
      <c r="T6" s="125"/>
      <c r="U6" s="125"/>
    </row>
    <row r="7" spans="1:25" s="13" customFormat="1" x14ac:dyDescent="0.2">
      <c r="B7" s="90" t="s">
        <v>174</v>
      </c>
      <c r="C7" s="109">
        <f>SUM(C8:C12)</f>
        <v>0</v>
      </c>
      <c r="D7" s="109">
        <f t="shared" ref="D7:J7" si="1">SUM(D8:D12)</f>
        <v>0</v>
      </c>
      <c r="E7" s="109">
        <f t="shared" si="1"/>
        <v>0</v>
      </c>
      <c r="F7" s="109">
        <f t="shared" si="1"/>
        <v>0</v>
      </c>
      <c r="G7" s="109">
        <f t="shared" si="1"/>
        <v>0</v>
      </c>
      <c r="H7" s="109">
        <f t="shared" si="1"/>
        <v>0</v>
      </c>
      <c r="I7" s="109">
        <f t="shared" si="1"/>
        <v>0</v>
      </c>
      <c r="J7" s="278">
        <f t="shared" si="1"/>
        <v>0</v>
      </c>
      <c r="K7" s="2"/>
      <c r="L7" s="125"/>
      <c r="M7" s="125"/>
      <c r="N7" s="125"/>
      <c r="O7" s="125"/>
      <c r="P7" s="125"/>
      <c r="Q7" s="125"/>
      <c r="R7" s="125"/>
      <c r="S7" s="125"/>
      <c r="T7" s="125"/>
      <c r="U7" s="125"/>
    </row>
    <row r="8" spans="1:25" s="13" customFormat="1" x14ac:dyDescent="0.2">
      <c r="B8" s="69" t="s">
        <v>175</v>
      </c>
      <c r="C8" s="115">
        <f>BALANCE!C9-BALANCE!C25</f>
        <v>0</v>
      </c>
      <c r="D8" s="115">
        <f>INCO!D94+BALANCE!C25-BALANCE!D25</f>
        <v>0</v>
      </c>
      <c r="E8" s="115">
        <f>INCO!E94+BALANCE!D25-BALANCE!E25</f>
        <v>0</v>
      </c>
      <c r="F8" s="115">
        <f>INCO!F94+BALANCE!E25-BALANCE!F25</f>
        <v>0</v>
      </c>
      <c r="G8" s="115">
        <f>INCO!G94+BALANCE!F25-BALANCE!G25</f>
        <v>0</v>
      </c>
      <c r="H8" s="115">
        <f>INCO!H94+BALANCE!G25-BALANCE!H25</f>
        <v>0</v>
      </c>
      <c r="I8" s="115">
        <f>INCO!I94+BALANCE!H25-BALANCE!I25</f>
        <v>0</v>
      </c>
      <c r="J8" s="279">
        <f>INCO!J94+BALANCE!I25-BALANCE!J25</f>
        <v>0</v>
      </c>
      <c r="K8" s="2"/>
      <c r="L8" s="125"/>
      <c r="M8" s="125"/>
      <c r="N8" s="125"/>
      <c r="O8" s="125"/>
      <c r="P8" s="125"/>
      <c r="Q8" s="125"/>
      <c r="R8" s="125"/>
      <c r="S8" s="125"/>
      <c r="T8" s="125"/>
      <c r="U8" s="125"/>
    </row>
    <row r="9" spans="1:25" s="13" customFormat="1" x14ac:dyDescent="0.2">
      <c r="B9" s="69" t="s">
        <v>176</v>
      </c>
      <c r="C9" s="115"/>
      <c r="D9" s="115">
        <f>INCO!D95+BALANCE!C26-BALANCE!D26</f>
        <v>0</v>
      </c>
      <c r="E9" s="115">
        <f>INCO!E95+BALANCE!D26-BALANCE!E26</f>
        <v>0</v>
      </c>
      <c r="F9" s="115">
        <f>INCO!F95+BALANCE!E26-BALANCE!F26</f>
        <v>0</v>
      </c>
      <c r="G9" s="115">
        <f>INCO!G95+BALANCE!F26-BALANCE!G26</f>
        <v>0</v>
      </c>
      <c r="H9" s="115">
        <f>INCO!H95+BALANCE!G26-BALANCE!H26</f>
        <v>0</v>
      </c>
      <c r="I9" s="115">
        <f>INCO!I95+BALANCE!H26-BALANCE!I26</f>
        <v>0</v>
      </c>
      <c r="J9" s="279">
        <f>INCO!J95+BALANCE!I26-BALANCE!J26</f>
        <v>0</v>
      </c>
      <c r="K9" s="2"/>
      <c r="L9" s="125"/>
      <c r="M9" s="125"/>
      <c r="N9" s="125"/>
      <c r="O9" s="125"/>
      <c r="P9" s="125"/>
      <c r="Q9" s="125"/>
      <c r="R9" s="125"/>
      <c r="S9" s="125"/>
      <c r="T9" s="125"/>
      <c r="U9" s="125"/>
    </row>
    <row r="10" spans="1:25" x14ac:dyDescent="0.2">
      <c r="B10" s="69" t="s">
        <v>141</v>
      </c>
      <c r="C10" s="106"/>
      <c r="D10" s="106">
        <f>CTA.RES!C8</f>
        <v>0</v>
      </c>
      <c r="E10" s="106">
        <f>CTA.RES!D8</f>
        <v>0</v>
      </c>
      <c r="F10" s="106">
        <f>CTA.RES!E8</f>
        <v>0</v>
      </c>
      <c r="G10" s="106">
        <f>CTA.RES!F8</f>
        <v>0</v>
      </c>
      <c r="H10" s="106">
        <f>CTA.RES!G8</f>
        <v>0</v>
      </c>
      <c r="I10" s="106">
        <f>CTA.RES!H8</f>
        <v>0</v>
      </c>
      <c r="J10" s="173">
        <f>CTA.RES!I8</f>
        <v>0</v>
      </c>
      <c r="L10" s="103"/>
      <c r="M10" s="103"/>
      <c r="N10" s="103"/>
      <c r="O10" s="103"/>
      <c r="P10" s="103"/>
      <c r="Q10" s="103"/>
      <c r="R10" s="103"/>
      <c r="S10" s="103"/>
      <c r="T10" s="103"/>
      <c r="U10" s="103"/>
    </row>
    <row r="11" spans="1:25" x14ac:dyDescent="0.2">
      <c r="B11" s="69" t="s">
        <v>177</v>
      </c>
      <c r="C11" s="106">
        <f>BALANCE!C13</f>
        <v>0</v>
      </c>
      <c r="D11" s="106">
        <f>BALANCE!D13-BALANCE!C13</f>
        <v>0</v>
      </c>
      <c r="E11" s="106">
        <f>BALANCE!E13-BALANCE!D13</f>
        <v>0</v>
      </c>
      <c r="F11" s="106">
        <f>BALANCE!F13-BALANCE!E13</f>
        <v>0</v>
      </c>
      <c r="G11" s="106">
        <f>BALANCE!G13-BALANCE!F13</f>
        <v>0</v>
      </c>
      <c r="H11" s="106">
        <f>BALANCE!H13-BALANCE!G13</f>
        <v>0</v>
      </c>
      <c r="I11" s="106">
        <f>BALANCE!I13-BALANCE!H13</f>
        <v>0</v>
      </c>
      <c r="J11" s="173">
        <f>BALANCE!J13-BALANCE!I13</f>
        <v>0</v>
      </c>
      <c r="L11" s="103"/>
      <c r="M11" s="103"/>
      <c r="N11" s="103"/>
      <c r="O11" s="103"/>
      <c r="P11" s="103"/>
      <c r="Q11" s="103"/>
      <c r="R11" s="103"/>
      <c r="S11" s="103"/>
      <c r="T11" s="103"/>
      <c r="U11" s="103"/>
    </row>
    <row r="12" spans="1:25" s="15" customFormat="1" ht="10.8" thickBot="1" x14ac:dyDescent="0.25">
      <c r="B12" s="69" t="s">
        <v>148</v>
      </c>
      <c r="C12" s="106"/>
      <c r="D12" s="106"/>
      <c r="E12" s="106">
        <f>CTA.RES!C15</f>
        <v>0</v>
      </c>
      <c r="F12" s="106">
        <f>CTA.RES!D15</f>
        <v>0</v>
      </c>
      <c r="G12" s="106">
        <f>CTA.RES!E15</f>
        <v>0</v>
      </c>
      <c r="H12" s="106">
        <f>CTA.RES!F15</f>
        <v>0</v>
      </c>
      <c r="I12" s="106">
        <f>CTA.RES!G15</f>
        <v>0</v>
      </c>
      <c r="J12" s="173">
        <f>CTA.RES!H15</f>
        <v>0</v>
      </c>
      <c r="K12" s="2"/>
      <c r="L12" s="116"/>
      <c r="M12" s="116"/>
      <c r="N12" s="116"/>
      <c r="O12" s="116"/>
      <c r="P12" s="116"/>
      <c r="Q12" s="116"/>
      <c r="R12" s="116"/>
      <c r="S12" s="116"/>
      <c r="T12" s="116"/>
      <c r="U12" s="116"/>
    </row>
    <row r="13" spans="1:25" s="15" customFormat="1" ht="10.8" thickBot="1" x14ac:dyDescent="0.25">
      <c r="B13" s="91" t="s">
        <v>178</v>
      </c>
      <c r="C13" s="311">
        <f>C4-C7</f>
        <v>0</v>
      </c>
      <c r="D13" s="311">
        <f t="shared" ref="D13:J13" si="2">D4-D7</f>
        <v>0</v>
      </c>
      <c r="E13" s="311">
        <f t="shared" si="2"/>
        <v>0</v>
      </c>
      <c r="F13" s="311">
        <f t="shared" si="2"/>
        <v>0</v>
      </c>
      <c r="G13" s="311">
        <f t="shared" si="2"/>
        <v>0</v>
      </c>
      <c r="H13" s="311">
        <f t="shared" si="2"/>
        <v>0</v>
      </c>
      <c r="I13" s="311">
        <f t="shared" si="2"/>
        <v>0</v>
      </c>
      <c r="J13" s="312">
        <f t="shared" si="2"/>
        <v>0</v>
      </c>
      <c r="K13" s="2"/>
      <c r="L13" s="116"/>
      <c r="M13" s="116"/>
      <c r="N13" s="116"/>
      <c r="O13" s="116"/>
      <c r="P13" s="116"/>
      <c r="Q13" s="116"/>
      <c r="R13" s="116"/>
      <c r="S13" s="116"/>
      <c r="T13" s="116"/>
      <c r="U13" s="116"/>
    </row>
    <row r="14" spans="1:25" s="15" customFormat="1" ht="10.8" thickBot="1" x14ac:dyDescent="0.25">
      <c r="A14" s="2"/>
      <c r="B14" s="2"/>
      <c r="C14" s="103"/>
      <c r="D14" s="103"/>
      <c r="E14" s="103"/>
      <c r="F14" s="103"/>
      <c r="G14" s="103"/>
      <c r="H14" s="103"/>
      <c r="I14" s="103"/>
      <c r="J14" s="103"/>
      <c r="K14" s="2"/>
      <c r="L14" s="116"/>
      <c r="M14" s="116"/>
      <c r="N14" s="116"/>
      <c r="O14" s="116"/>
      <c r="P14" s="116"/>
      <c r="Q14" s="116"/>
      <c r="R14" s="116"/>
      <c r="S14" s="116"/>
      <c r="T14" s="116"/>
      <c r="U14" s="116"/>
    </row>
    <row r="15" spans="1:25" s="15" customFormat="1" x14ac:dyDescent="0.2">
      <c r="B15" s="52" t="s">
        <v>179</v>
      </c>
      <c r="C15" s="313">
        <f>SUM(C16:C20)</f>
        <v>0</v>
      </c>
      <c r="D15" s="313">
        <f t="shared" ref="D15:J15" si="3">SUM(D16:D20)</f>
        <v>0</v>
      </c>
      <c r="E15" s="313">
        <f t="shared" si="3"/>
        <v>0</v>
      </c>
      <c r="F15" s="313">
        <f t="shared" si="3"/>
        <v>0</v>
      </c>
      <c r="G15" s="313">
        <f t="shared" si="3"/>
        <v>0</v>
      </c>
      <c r="H15" s="313">
        <f t="shared" si="3"/>
        <v>0</v>
      </c>
      <c r="I15" s="313">
        <f t="shared" si="3"/>
        <v>0</v>
      </c>
      <c r="J15" s="314">
        <f t="shared" si="3"/>
        <v>0</v>
      </c>
      <c r="K15" s="2"/>
      <c r="L15" s="116"/>
      <c r="M15" s="116"/>
      <c r="N15" s="116"/>
      <c r="O15" s="116"/>
      <c r="P15" s="116"/>
      <c r="Q15" s="116"/>
      <c r="R15" s="116"/>
      <c r="S15" s="116"/>
      <c r="T15" s="116"/>
      <c r="U15" s="116"/>
    </row>
    <row r="16" spans="1:25" s="15" customFormat="1" x14ac:dyDescent="0.2">
      <c r="B16" s="69" t="s">
        <v>76</v>
      </c>
      <c r="C16" s="106">
        <f>BALANCE!C37</f>
        <v>0</v>
      </c>
      <c r="D16" s="106">
        <f>BALANCE!D37</f>
        <v>0</v>
      </c>
      <c r="E16" s="106">
        <f>BALANCE!E37</f>
        <v>0</v>
      </c>
      <c r="F16" s="106">
        <f>BALANCE!F37</f>
        <v>0</v>
      </c>
      <c r="G16" s="106">
        <f>BALANCE!G37</f>
        <v>0</v>
      </c>
      <c r="H16" s="106">
        <f>BALANCE!H37</f>
        <v>0</v>
      </c>
      <c r="I16" s="106">
        <f>BALANCE!I37</f>
        <v>0</v>
      </c>
      <c r="J16" s="173">
        <f>BALANCE!J37</f>
        <v>0</v>
      </c>
      <c r="K16" s="2"/>
      <c r="L16" s="116"/>
      <c r="M16" s="116"/>
      <c r="N16" s="116"/>
      <c r="O16" s="116"/>
      <c r="P16" s="116"/>
      <c r="Q16" s="116"/>
      <c r="R16" s="116"/>
      <c r="S16" s="116"/>
      <c r="T16" s="116"/>
      <c r="U16" s="116"/>
    </row>
    <row r="17" spans="1:21" s="15" customFormat="1" x14ac:dyDescent="0.2">
      <c r="B17" s="69" t="s">
        <v>77</v>
      </c>
      <c r="C17" s="106">
        <f>BALANCE!C38</f>
        <v>0</v>
      </c>
      <c r="D17" s="106">
        <f>BALANCE!D38</f>
        <v>0</v>
      </c>
      <c r="E17" s="106">
        <f>BALANCE!E38</f>
        <v>0</v>
      </c>
      <c r="F17" s="106">
        <f>BALANCE!F38</f>
        <v>0</v>
      </c>
      <c r="G17" s="106">
        <f>BALANCE!G38</f>
        <v>0</v>
      </c>
      <c r="H17" s="106">
        <f>BALANCE!H38</f>
        <v>0</v>
      </c>
      <c r="I17" s="106">
        <f>BALANCE!I38</f>
        <v>0</v>
      </c>
      <c r="J17" s="173">
        <f>BALANCE!J38</f>
        <v>0</v>
      </c>
      <c r="K17" s="2"/>
      <c r="L17" s="116"/>
      <c r="M17" s="116"/>
      <c r="N17" s="116"/>
      <c r="O17" s="116"/>
      <c r="P17" s="116"/>
      <c r="Q17" s="116"/>
      <c r="R17" s="116"/>
      <c r="S17" s="116"/>
      <c r="T17" s="116"/>
      <c r="U17" s="116"/>
    </row>
    <row r="18" spans="1:21" s="15" customFormat="1" x14ac:dyDescent="0.2">
      <c r="B18" s="69" t="s">
        <v>184</v>
      </c>
      <c r="C18" s="106">
        <f>BALANCE!C39</f>
        <v>0</v>
      </c>
      <c r="D18" s="106">
        <f>BALANCE!D39</f>
        <v>0</v>
      </c>
      <c r="E18" s="106">
        <f>BALANCE!E39</f>
        <v>0</v>
      </c>
      <c r="F18" s="106">
        <f>BALANCE!F39</f>
        <v>0</v>
      </c>
      <c r="G18" s="106">
        <f>BALANCE!G39</f>
        <v>0</v>
      </c>
      <c r="H18" s="106">
        <f>BALANCE!H39</f>
        <v>0</v>
      </c>
      <c r="I18" s="106">
        <f>BALANCE!I39</f>
        <v>0</v>
      </c>
      <c r="J18" s="173">
        <f>BALANCE!J39</f>
        <v>0</v>
      </c>
      <c r="K18" s="2"/>
      <c r="L18" s="116"/>
      <c r="M18" s="116"/>
      <c r="N18" s="116"/>
      <c r="O18" s="116"/>
      <c r="P18" s="116"/>
      <c r="Q18" s="116"/>
      <c r="R18" s="116"/>
      <c r="S18" s="116"/>
      <c r="T18" s="116"/>
      <c r="U18" s="116"/>
    </row>
    <row r="19" spans="1:21" s="15" customFormat="1" x14ac:dyDescent="0.2">
      <c r="B19" s="69" t="s">
        <v>180</v>
      </c>
      <c r="C19" s="106"/>
      <c r="D19" s="106">
        <f>C23</f>
        <v>0</v>
      </c>
      <c r="E19" s="106">
        <f t="shared" ref="E19:J19" si="4">D23</f>
        <v>0</v>
      </c>
      <c r="F19" s="106">
        <f t="shared" si="4"/>
        <v>0</v>
      </c>
      <c r="G19" s="106">
        <f t="shared" si="4"/>
        <v>0</v>
      </c>
      <c r="H19" s="106">
        <f t="shared" si="4"/>
        <v>0</v>
      </c>
      <c r="I19" s="106">
        <f t="shared" si="4"/>
        <v>0</v>
      </c>
      <c r="J19" s="173">
        <f t="shared" si="4"/>
        <v>0</v>
      </c>
      <c r="K19" s="2"/>
      <c r="L19" s="116"/>
      <c r="M19" s="116"/>
      <c r="N19" s="116"/>
      <c r="O19" s="116"/>
      <c r="P19" s="116"/>
      <c r="Q19" s="116"/>
      <c r="R19" s="116"/>
      <c r="S19" s="116"/>
      <c r="T19" s="116"/>
      <c r="U19" s="116"/>
    </row>
    <row r="20" spans="1:21" s="15" customFormat="1" x14ac:dyDescent="0.2">
      <c r="B20" s="69" t="s">
        <v>145</v>
      </c>
      <c r="C20" s="106"/>
      <c r="D20" s="106">
        <f>CTA.RES!C12</f>
        <v>0</v>
      </c>
      <c r="E20" s="106">
        <f>CTA.RES!D12</f>
        <v>0</v>
      </c>
      <c r="F20" s="106">
        <f>CTA.RES!E12</f>
        <v>0</v>
      </c>
      <c r="G20" s="106">
        <f>CTA.RES!F12</f>
        <v>0</v>
      </c>
      <c r="H20" s="106">
        <f>CTA.RES!G12</f>
        <v>0</v>
      </c>
      <c r="I20" s="106">
        <f>CTA.RES!H12</f>
        <v>0</v>
      </c>
      <c r="J20" s="173">
        <f>CTA.RES!I12</f>
        <v>0</v>
      </c>
      <c r="K20" s="2"/>
      <c r="L20" s="116"/>
      <c r="M20" s="116"/>
      <c r="N20" s="116"/>
      <c r="O20" s="116"/>
      <c r="P20" s="116"/>
      <c r="Q20" s="116"/>
      <c r="R20" s="116"/>
      <c r="S20" s="116"/>
      <c r="T20" s="116"/>
      <c r="U20" s="116"/>
    </row>
    <row r="21" spans="1:21" s="15" customFormat="1" x14ac:dyDescent="0.2">
      <c r="B21" s="90" t="s">
        <v>181</v>
      </c>
      <c r="C21" s="315">
        <f>SUM(C22:C26)</f>
        <v>0</v>
      </c>
      <c r="D21" s="315">
        <f t="shared" ref="D21:J21" si="5">SUM(D22:D26)</f>
        <v>0</v>
      </c>
      <c r="E21" s="315">
        <f t="shared" si="5"/>
        <v>0</v>
      </c>
      <c r="F21" s="315">
        <f t="shared" si="5"/>
        <v>0</v>
      </c>
      <c r="G21" s="315">
        <f t="shared" si="5"/>
        <v>0</v>
      </c>
      <c r="H21" s="315">
        <f t="shared" si="5"/>
        <v>0</v>
      </c>
      <c r="I21" s="315">
        <f t="shared" si="5"/>
        <v>0</v>
      </c>
      <c r="J21" s="316">
        <f t="shared" si="5"/>
        <v>0</v>
      </c>
      <c r="K21" s="2"/>
      <c r="L21" s="116"/>
      <c r="M21" s="116"/>
      <c r="N21" s="116"/>
      <c r="O21" s="116"/>
      <c r="P21" s="116"/>
      <c r="Q21" s="116"/>
      <c r="R21" s="116"/>
      <c r="S21" s="116"/>
      <c r="T21" s="116"/>
      <c r="U21" s="116"/>
    </row>
    <row r="22" spans="1:21" s="15" customFormat="1" x14ac:dyDescent="0.2">
      <c r="B22" s="69" t="s">
        <v>182</v>
      </c>
      <c r="C22" s="106">
        <f>INVERSIONES!C55</f>
        <v>0</v>
      </c>
      <c r="D22" s="106">
        <f>INVERSIONES!D55</f>
        <v>0</v>
      </c>
      <c r="E22" s="106">
        <f>INVERSIONES!E55</f>
        <v>0</v>
      </c>
      <c r="F22" s="106">
        <f>INVERSIONES!F55</f>
        <v>0</v>
      </c>
      <c r="G22" s="106">
        <f>INVERSIONES!G55</f>
        <v>0</v>
      </c>
      <c r="H22" s="106">
        <f>INVERSIONES!H55</f>
        <v>0</v>
      </c>
      <c r="I22" s="106">
        <f>INVERSIONES!I55</f>
        <v>0</v>
      </c>
      <c r="J22" s="173">
        <f>INVERSIONES!J55</f>
        <v>0</v>
      </c>
      <c r="K22" s="2"/>
      <c r="L22" s="116"/>
      <c r="M22" s="116"/>
      <c r="N22" s="116"/>
      <c r="O22" s="116"/>
      <c r="P22" s="116"/>
      <c r="Q22" s="116"/>
      <c r="R22" s="116"/>
      <c r="S22" s="116"/>
      <c r="T22" s="116"/>
      <c r="U22" s="116"/>
    </row>
    <row r="23" spans="1:21" s="15" customFormat="1" x14ac:dyDescent="0.2">
      <c r="B23" s="48" t="s">
        <v>183</v>
      </c>
      <c r="C23" s="106">
        <f>INVERSIONES!C57</f>
        <v>0</v>
      </c>
      <c r="D23" s="106">
        <f>INVERSIONES!D57</f>
        <v>0</v>
      </c>
      <c r="E23" s="106">
        <f>INVERSIONES!E57</f>
        <v>0</v>
      </c>
      <c r="F23" s="106">
        <f>INVERSIONES!F57</f>
        <v>0</v>
      </c>
      <c r="G23" s="106">
        <f>INVERSIONES!G57</f>
        <v>0</v>
      </c>
      <c r="H23" s="106">
        <f>INVERSIONES!H57</f>
        <v>0</v>
      </c>
      <c r="I23" s="106">
        <f>INVERSIONES!I57</f>
        <v>0</v>
      </c>
      <c r="J23" s="173">
        <f>INVERSIONES!J57</f>
        <v>0</v>
      </c>
      <c r="K23" s="2"/>
      <c r="L23" s="116"/>
      <c r="M23" s="116"/>
      <c r="N23" s="116"/>
      <c r="O23" s="116"/>
      <c r="P23" s="116"/>
      <c r="Q23" s="116"/>
      <c r="R23" s="116"/>
      <c r="S23" s="116"/>
      <c r="T23" s="116"/>
      <c r="U23" s="116"/>
    </row>
    <row r="24" spans="1:21" s="15" customFormat="1" x14ac:dyDescent="0.2">
      <c r="B24" s="69" t="s">
        <v>185</v>
      </c>
      <c r="C24" s="106"/>
      <c r="D24" s="106">
        <f>MAX(0,BALANCE!C23-BALANCE!D23)</f>
        <v>0</v>
      </c>
      <c r="E24" s="106">
        <f>MAX(0,BALANCE!D23-BALANCE!E23)</f>
        <v>0</v>
      </c>
      <c r="F24" s="106">
        <f>MAX(0,BALANCE!E23-BALANCE!F23)</f>
        <v>0</v>
      </c>
      <c r="G24" s="106">
        <f>MAX(0,BALANCE!F23-BALANCE!G23)</f>
        <v>0</v>
      </c>
      <c r="H24" s="106">
        <f>MAX(0,BALANCE!G23-BALANCE!H23)</f>
        <v>0</v>
      </c>
      <c r="I24" s="106">
        <f>MAX(0,BALANCE!H23-BALANCE!I23)</f>
        <v>0</v>
      </c>
      <c r="J24" s="173">
        <f>MAX(0,BALANCE!I23-BALANCE!J23)</f>
        <v>0</v>
      </c>
      <c r="K24" s="2"/>
      <c r="L24" s="116"/>
      <c r="M24" s="116"/>
      <c r="N24" s="116"/>
      <c r="O24" s="116"/>
      <c r="P24" s="116"/>
      <c r="Q24" s="116"/>
      <c r="R24" s="116"/>
      <c r="S24" s="116"/>
      <c r="T24" s="116"/>
      <c r="U24" s="116"/>
    </row>
    <row r="25" spans="1:21" s="15" customFormat="1" x14ac:dyDescent="0.2">
      <c r="B25" s="69" t="s">
        <v>75</v>
      </c>
      <c r="C25" s="106"/>
      <c r="D25" s="106">
        <f>CTA.RES!C18</f>
        <v>0</v>
      </c>
      <c r="E25" s="106">
        <f>CTA.RES!D18</f>
        <v>0</v>
      </c>
      <c r="F25" s="106">
        <f>CTA.RES!E18</f>
        <v>0</v>
      </c>
      <c r="G25" s="106">
        <f>CTA.RES!F18</f>
        <v>0</v>
      </c>
      <c r="H25" s="106">
        <f>CTA.RES!G18</f>
        <v>0</v>
      </c>
      <c r="I25" s="106">
        <f>CTA.RES!H18</f>
        <v>0</v>
      </c>
      <c r="J25" s="173">
        <f>CTA.RES!I18</f>
        <v>0</v>
      </c>
      <c r="K25" s="2"/>
      <c r="L25" s="116"/>
      <c r="M25" s="116"/>
      <c r="N25" s="116"/>
      <c r="O25" s="116"/>
      <c r="P25" s="116"/>
      <c r="Q25" s="116"/>
      <c r="R25" s="116"/>
      <c r="S25" s="116"/>
      <c r="T25" s="116"/>
      <c r="U25" s="116"/>
    </row>
    <row r="26" spans="1:21" s="15" customFormat="1" ht="10.8" thickBot="1" x14ac:dyDescent="0.25">
      <c r="B26" s="82" t="s">
        <v>146</v>
      </c>
      <c r="C26" s="182"/>
      <c r="D26" s="106">
        <f>CTA.RES!C13</f>
        <v>0</v>
      </c>
      <c r="E26" s="106">
        <f>CTA.RES!D13</f>
        <v>0</v>
      </c>
      <c r="F26" s="106">
        <f>CTA.RES!E13</f>
        <v>0</v>
      </c>
      <c r="G26" s="106">
        <f>CTA.RES!F13</f>
        <v>0</v>
      </c>
      <c r="H26" s="106">
        <f>CTA.RES!G13</f>
        <v>0</v>
      </c>
      <c r="I26" s="106">
        <f>CTA.RES!H13</f>
        <v>0</v>
      </c>
      <c r="J26" s="173">
        <f>CTA.RES!I13</f>
        <v>0</v>
      </c>
      <c r="K26" s="2"/>
      <c r="L26" s="116"/>
      <c r="M26" s="116"/>
      <c r="N26" s="116"/>
      <c r="O26" s="116"/>
      <c r="P26" s="116"/>
      <c r="Q26" s="116"/>
      <c r="R26" s="116"/>
      <c r="S26" s="116"/>
      <c r="T26" s="116"/>
      <c r="U26" s="116"/>
    </row>
    <row r="27" spans="1:21" s="14" customFormat="1" ht="10.8" thickBot="1" x14ac:dyDescent="0.25">
      <c r="B27" s="91" t="s">
        <v>186</v>
      </c>
      <c r="C27" s="311">
        <f>C15-C21</f>
        <v>0</v>
      </c>
      <c r="D27" s="311">
        <f t="shared" ref="D27:J27" si="6">D15-D21</f>
        <v>0</v>
      </c>
      <c r="E27" s="311">
        <f t="shared" si="6"/>
        <v>0</v>
      </c>
      <c r="F27" s="311">
        <f t="shared" si="6"/>
        <v>0</v>
      </c>
      <c r="G27" s="311">
        <f t="shared" si="6"/>
        <v>0</v>
      </c>
      <c r="H27" s="311">
        <f t="shared" si="6"/>
        <v>0</v>
      </c>
      <c r="I27" s="311">
        <f t="shared" si="6"/>
        <v>0</v>
      </c>
      <c r="J27" s="312">
        <f t="shared" si="6"/>
        <v>0</v>
      </c>
      <c r="K27" s="2"/>
      <c r="L27" s="87"/>
      <c r="M27" s="87"/>
      <c r="N27" s="87"/>
      <c r="O27" s="87"/>
      <c r="P27" s="87"/>
      <c r="Q27" s="87"/>
      <c r="R27" s="87"/>
      <c r="S27" s="87"/>
      <c r="T27" s="87"/>
      <c r="U27" s="87"/>
    </row>
    <row r="28" spans="1:21" s="15" customFormat="1" ht="10.8" thickBot="1" x14ac:dyDescent="0.25">
      <c r="A28" s="2"/>
      <c r="B28" s="2"/>
      <c r="C28" s="103"/>
      <c r="D28" s="103"/>
      <c r="E28" s="103"/>
      <c r="F28" s="103"/>
      <c r="G28" s="103"/>
      <c r="H28" s="103"/>
      <c r="I28" s="103"/>
      <c r="J28" s="103"/>
      <c r="K28" s="2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1:21" s="14" customFormat="1" ht="10.8" thickBot="1" x14ac:dyDescent="0.25">
      <c r="B29" s="91" t="s">
        <v>206</v>
      </c>
      <c r="C29" s="311">
        <f>C13+C27</f>
        <v>0</v>
      </c>
      <c r="D29" s="311">
        <f t="shared" ref="D29:J29" si="7">D13+D27</f>
        <v>0</v>
      </c>
      <c r="E29" s="311">
        <f t="shared" si="7"/>
        <v>0</v>
      </c>
      <c r="F29" s="311">
        <f t="shared" si="7"/>
        <v>0</v>
      </c>
      <c r="G29" s="311">
        <f t="shared" si="7"/>
        <v>0</v>
      </c>
      <c r="H29" s="311">
        <f t="shared" si="7"/>
        <v>0</v>
      </c>
      <c r="I29" s="311">
        <f t="shared" si="7"/>
        <v>0</v>
      </c>
      <c r="J29" s="312">
        <f t="shared" si="7"/>
        <v>0</v>
      </c>
      <c r="K29" s="2"/>
      <c r="L29" s="87"/>
      <c r="M29" s="87"/>
      <c r="N29" s="87"/>
      <c r="O29" s="87"/>
      <c r="P29" s="87"/>
      <c r="Q29" s="87"/>
      <c r="R29" s="87"/>
      <c r="S29" s="87"/>
      <c r="T29" s="87"/>
      <c r="U29" s="87"/>
    </row>
    <row r="30" spans="1:21" s="15" customFormat="1" x14ac:dyDescent="0.2">
      <c r="B30" s="54" t="s">
        <v>187</v>
      </c>
      <c r="C30" s="276">
        <f>C29</f>
        <v>0</v>
      </c>
      <c r="D30" s="276">
        <f>C30+D29</f>
        <v>0</v>
      </c>
      <c r="E30" s="276">
        <f t="shared" ref="E30:J30" si="8">D30+E29</f>
        <v>0</v>
      </c>
      <c r="F30" s="276">
        <f t="shared" si="8"/>
        <v>0</v>
      </c>
      <c r="G30" s="276">
        <f t="shared" si="8"/>
        <v>0</v>
      </c>
      <c r="H30" s="276">
        <f t="shared" si="8"/>
        <v>0</v>
      </c>
      <c r="I30" s="276">
        <f t="shared" si="8"/>
        <v>0</v>
      </c>
      <c r="J30" s="252">
        <f t="shared" si="8"/>
        <v>0</v>
      </c>
      <c r="K30" s="2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1:21" s="15" customFormat="1" x14ac:dyDescent="0.2">
      <c r="B31" s="381" t="s">
        <v>188</v>
      </c>
      <c r="C31" s="382">
        <f>BALANCE!C14</f>
        <v>0</v>
      </c>
      <c r="D31" s="382">
        <f>BALANCE!D14</f>
        <v>0</v>
      </c>
      <c r="E31" s="382">
        <f>BALANCE!E14</f>
        <v>0</v>
      </c>
      <c r="F31" s="382">
        <f>BALANCE!F14</f>
        <v>0</v>
      </c>
      <c r="G31" s="382">
        <f>BALANCE!G14</f>
        <v>0</v>
      </c>
      <c r="H31" s="382">
        <f>BALANCE!H14</f>
        <v>0</v>
      </c>
      <c r="I31" s="382">
        <f>BALANCE!I14</f>
        <v>0</v>
      </c>
      <c r="J31" s="383">
        <f>BALANCE!J14</f>
        <v>0</v>
      </c>
      <c r="K31" s="2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1:21" s="15" customFormat="1" x14ac:dyDescent="0.2">
      <c r="B32" s="384" t="s">
        <v>30</v>
      </c>
      <c r="C32" s="165">
        <f t="shared" ref="C32:J32" si="9">ABS(C30-C31)</f>
        <v>0</v>
      </c>
      <c r="D32" s="165">
        <f t="shared" si="9"/>
        <v>0</v>
      </c>
      <c r="E32" s="165">
        <f t="shared" si="9"/>
        <v>0</v>
      </c>
      <c r="F32" s="165">
        <f t="shared" si="9"/>
        <v>0</v>
      </c>
      <c r="G32" s="165">
        <f t="shared" si="9"/>
        <v>0</v>
      </c>
      <c r="H32" s="165">
        <f t="shared" si="9"/>
        <v>0</v>
      </c>
      <c r="I32" s="165">
        <f t="shared" si="9"/>
        <v>0</v>
      </c>
      <c r="J32" s="385">
        <f t="shared" si="9"/>
        <v>0</v>
      </c>
      <c r="K32" s="2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2:21" s="15" customFormat="1" x14ac:dyDescent="0.2">
      <c r="B33" s="92" t="str">
        <f>IF(MAX(C32:J32)&lt;1,"OK","Error")</f>
        <v>OK</v>
      </c>
      <c r="C33" s="94"/>
      <c r="D33" s="94"/>
      <c r="E33" s="94"/>
      <c r="F33" s="94"/>
      <c r="G33" s="94"/>
      <c r="H33" s="94"/>
      <c r="I33" s="94"/>
      <c r="J33" s="94"/>
      <c r="K33" s="2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  <row r="34" spans="2:21" s="15" customFormat="1" x14ac:dyDescent="0.2">
      <c r="C34" s="94"/>
      <c r="D34" s="94"/>
      <c r="E34" s="94"/>
      <c r="F34" s="94"/>
      <c r="G34" s="94"/>
      <c r="H34" s="94"/>
      <c r="I34" s="94"/>
      <c r="J34" s="94"/>
      <c r="K34" s="2"/>
      <c r="L34" s="116"/>
      <c r="M34" s="116"/>
      <c r="N34" s="116"/>
      <c r="O34" s="116"/>
      <c r="P34" s="116"/>
      <c r="Q34" s="116"/>
      <c r="R34" s="116"/>
      <c r="S34" s="116"/>
      <c r="T34" s="116"/>
      <c r="U34" s="116"/>
    </row>
    <row r="35" spans="2:21" x14ac:dyDescent="0.2">
      <c r="L35" s="103"/>
      <c r="M35" s="103"/>
      <c r="N35" s="103"/>
      <c r="O35" s="103"/>
      <c r="P35" s="103"/>
      <c r="Q35" s="103"/>
      <c r="R35" s="103"/>
      <c r="S35" s="103"/>
      <c r="T35" s="103"/>
      <c r="U35" s="103"/>
    </row>
    <row r="36" spans="2:21" x14ac:dyDescent="0.2">
      <c r="L36" s="103"/>
      <c r="M36" s="103"/>
      <c r="N36" s="103"/>
      <c r="O36" s="103"/>
      <c r="P36" s="103"/>
      <c r="Q36" s="103"/>
      <c r="R36" s="103"/>
      <c r="S36" s="103"/>
      <c r="T36" s="103"/>
      <c r="U36" s="103"/>
    </row>
  </sheetData>
  <customSheetViews>
    <customSheetView guid="{D4D7EB23-CC17-11D2-866F-0020AFB54048}" showRuler="0" topLeftCell="E3">
      <selection activeCell="L24" sqref="L24"/>
      <pageMargins left="0.75" right="0.75" top="1.0900000000000001" bottom="1" header="0.511811024" footer="0.511811024"/>
      <printOptions headings="1"/>
      <pageSetup paperSize="9" orientation="landscape" r:id="rId1"/>
      <headerFooter alignWithMargins="0">
        <oddHeader>&amp;A</oddHeader>
        <oddFooter>&amp;LMODELEVA&amp;CDEPTO. ECONOMÍA FINANCIERA&amp;RUNIVERSIDAD DE SANTIAGO</oddFooter>
      </headerFooter>
    </customSheetView>
    <customSheetView guid="{D4D7EB24-CC17-11D2-866F-0020AFB54048}" showRuler="0" topLeftCell="E3">
      <selection activeCell="L24" sqref="L24"/>
      <pageMargins left="0.75" right="0.75" top="1.0900000000000001" bottom="1" header="0.511811024" footer="0.511811024"/>
      <printOptions headings="1"/>
      <pageSetup paperSize="9" orientation="landscape" r:id="rId2"/>
      <headerFooter alignWithMargins="0">
        <oddHeader>&amp;A</oddHeader>
        <oddFooter>&amp;LMODELEVA&amp;CDEPTO. ECONOMÍA FINANCIERA&amp;RUNIVERSIDAD DE SANTIAGO</oddFooter>
      </headerFooter>
    </customSheetView>
  </customSheetViews>
  <phoneticPr fontId="4" type="noConversion"/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9"/>
  <dimension ref="A1:BQ64"/>
  <sheetViews>
    <sheetView showGridLines="0" zoomScale="120" zoomScaleNormal="120" workbookViewId="0">
      <pane ySplit="7" topLeftCell="A8" activePane="bottomLeft" state="frozen"/>
      <selection pane="bottomLeft" activeCell="D12" sqref="D12"/>
    </sheetView>
  </sheetViews>
  <sheetFormatPr baseColWidth="10" defaultColWidth="11.44140625" defaultRowHeight="10.199999999999999" x14ac:dyDescent="0.2"/>
  <cols>
    <col min="1" max="1" width="3" style="2" customWidth="1"/>
    <col min="2" max="2" width="25.77734375" style="2" customWidth="1"/>
    <col min="3" max="3" width="8.88671875" style="2" customWidth="1"/>
    <col min="4" max="10" width="8.33203125" style="2" customWidth="1"/>
    <col min="11" max="69" width="11.44140625" style="15"/>
    <col min="70" max="16384" width="11.44140625" style="2"/>
  </cols>
  <sheetData>
    <row r="1" spans="1:69" ht="10.8" thickBot="1" x14ac:dyDescent="0.25"/>
    <row r="2" spans="1:69" ht="10.8" thickBot="1" x14ac:dyDescent="0.25">
      <c r="C2" s="341" t="str">
        <f>RIESGO!C6</f>
        <v>Escenario  Base</v>
      </c>
      <c r="D2" s="342"/>
    </row>
    <row r="3" spans="1:69" x14ac:dyDescent="0.2">
      <c r="B3" s="44" t="s">
        <v>215</v>
      </c>
      <c r="C3" s="72">
        <f>INPUTS!C10</f>
        <v>0</v>
      </c>
      <c r="D3" s="41"/>
      <c r="E3" s="41"/>
      <c r="F3" s="41"/>
      <c r="G3" s="41"/>
      <c r="H3" s="41"/>
      <c r="I3" s="41"/>
      <c r="J3" s="42"/>
    </row>
    <row r="4" spans="1:69" x14ac:dyDescent="0.2">
      <c r="B4" s="36" t="s">
        <v>209</v>
      </c>
      <c r="C4" s="63">
        <f>INPUTS!C51</f>
        <v>0</v>
      </c>
      <c r="D4" s="34"/>
      <c r="E4" s="34"/>
      <c r="F4" s="34"/>
      <c r="G4" s="34"/>
      <c r="H4" s="34"/>
      <c r="I4" s="34"/>
      <c r="J4" s="37"/>
    </row>
    <row r="5" spans="1:69" x14ac:dyDescent="0.2">
      <c r="B5" s="36" t="s">
        <v>212</v>
      </c>
      <c r="C5" s="369">
        <f>INPUTS!C11*RIESGO!C11</f>
        <v>0</v>
      </c>
      <c r="D5" s="64"/>
      <c r="E5" s="64"/>
      <c r="F5" s="64"/>
      <c r="G5" s="64"/>
      <c r="H5" s="34"/>
      <c r="I5" s="64"/>
      <c r="J5" s="65"/>
    </row>
    <row r="6" spans="1:69" x14ac:dyDescent="0.2">
      <c r="B6" s="36" t="s">
        <v>213</v>
      </c>
      <c r="C6" s="369">
        <f>INPUTS!C12</f>
        <v>0</v>
      </c>
      <c r="D6" s="64"/>
      <c r="E6" s="64"/>
      <c r="F6" s="64"/>
      <c r="G6" s="64"/>
      <c r="H6" s="34"/>
      <c r="I6" s="64"/>
      <c r="J6" s="65"/>
    </row>
    <row r="7" spans="1:69" x14ac:dyDescent="0.2">
      <c r="B7" s="36" t="s">
        <v>216</v>
      </c>
      <c r="C7" s="369" t="e">
        <f>C5/C6</f>
        <v>#DIV/0!</v>
      </c>
      <c r="D7" s="64"/>
      <c r="E7" s="64"/>
      <c r="F7" s="64"/>
      <c r="G7" s="64"/>
      <c r="H7" s="34"/>
      <c r="I7" s="64"/>
      <c r="J7" s="65"/>
    </row>
    <row r="8" spans="1:69" x14ac:dyDescent="0.2">
      <c r="B8" s="45"/>
      <c r="C8" s="34"/>
      <c r="D8" s="34"/>
      <c r="E8" s="34"/>
      <c r="F8" s="34"/>
      <c r="G8" s="34"/>
      <c r="H8" s="34"/>
      <c r="I8" s="34"/>
      <c r="J8" s="37"/>
    </row>
    <row r="9" spans="1:69" ht="10.8" thickBot="1" x14ac:dyDescent="0.25">
      <c r="B9" s="68"/>
      <c r="C9" s="8" t="s">
        <v>194</v>
      </c>
      <c r="D9" s="4"/>
      <c r="E9" s="4"/>
      <c r="F9" s="4"/>
      <c r="G9" s="4"/>
      <c r="H9" s="4"/>
      <c r="I9" s="4"/>
      <c r="J9" s="38"/>
    </row>
    <row r="10" spans="1:69" ht="10.8" thickBot="1" x14ac:dyDescent="0.25">
      <c r="B10" s="127" t="s">
        <v>0</v>
      </c>
      <c r="C10" s="171" t="str">
        <f>BALANCE!C3</f>
        <v>Inicio</v>
      </c>
      <c r="D10" s="171">
        <f>BALANCE!D3</f>
        <v>1</v>
      </c>
      <c r="E10" s="171">
        <f>BALANCE!E3</f>
        <v>2</v>
      </c>
      <c r="F10" s="171">
        <f>BALANCE!F3</f>
        <v>3</v>
      </c>
      <c r="G10" s="171">
        <f>BALANCE!G3</f>
        <v>4</v>
      </c>
      <c r="H10" s="171">
        <f>BALANCE!H3</f>
        <v>5</v>
      </c>
      <c r="I10" s="171">
        <f>BALANCE!I3</f>
        <v>6</v>
      </c>
      <c r="J10" s="172">
        <f>BALANCE!J3</f>
        <v>7</v>
      </c>
    </row>
    <row r="11" spans="1:69" s="13" customFormat="1" x14ac:dyDescent="0.2">
      <c r="A11" s="2"/>
      <c r="B11" s="170" t="s">
        <v>22</v>
      </c>
      <c r="C11" s="313"/>
      <c r="D11" s="301" t="e">
        <f>(CTA.RES!C11-CTA.RES!C10)*(1-CTA.RES!C15/CTA.RES!C14)</f>
        <v>#DIV/0!</v>
      </c>
      <c r="E11" s="301" t="e">
        <f>(CTA.RES!D11-CTA.RES!D10)*(1-CTA.RES!D15/CTA.RES!D14)</f>
        <v>#DIV/0!</v>
      </c>
      <c r="F11" s="301" t="e">
        <f>(CTA.RES!E11-CTA.RES!E10)*(1-CTA.RES!E15/CTA.RES!E14)</f>
        <v>#DIV/0!</v>
      </c>
      <c r="G11" s="301" t="e">
        <f>(CTA.RES!F11-CTA.RES!F10)*(1-CTA.RES!F15/CTA.RES!F14)</f>
        <v>#DIV/0!</v>
      </c>
      <c r="H11" s="301" t="e">
        <f>(CTA.RES!G11-CTA.RES!G10)*(1-CTA.RES!G15/CTA.RES!G14)</f>
        <v>#DIV/0!</v>
      </c>
      <c r="I11" s="301" t="e">
        <f>(CTA.RES!H11-CTA.RES!H10)*(1-CTA.RES!H15/CTA.RES!H14)</f>
        <v>#DIV/0!</v>
      </c>
      <c r="J11" s="302" t="e">
        <f>(CTA.RES!I11-CTA.RES!I10)*(1-CTA.RES!I15/CTA.RES!I14)</f>
        <v>#DIV/0!</v>
      </c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</row>
    <row r="12" spans="1:69" s="13" customFormat="1" x14ac:dyDescent="0.2">
      <c r="A12" s="2"/>
      <c r="B12" s="48" t="s">
        <v>196</v>
      </c>
      <c r="C12" s="109"/>
      <c r="D12" s="115">
        <f>CTA.RES!C9</f>
        <v>0</v>
      </c>
      <c r="E12" s="115">
        <f>CTA.RES!D9</f>
        <v>0</v>
      </c>
      <c r="F12" s="115">
        <f>CTA.RES!E9</f>
        <v>0</v>
      </c>
      <c r="G12" s="115">
        <f>CTA.RES!F9</f>
        <v>0</v>
      </c>
      <c r="H12" s="115">
        <f>CTA.RES!G9</f>
        <v>0</v>
      </c>
      <c r="I12" s="115">
        <f>CTA.RES!H9</f>
        <v>0</v>
      </c>
      <c r="J12" s="279">
        <f>CTA.RES!I9</f>
        <v>0</v>
      </c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</row>
    <row r="13" spans="1:69" s="13" customFormat="1" x14ac:dyDescent="0.2">
      <c r="A13" s="2"/>
      <c r="B13" s="48" t="s">
        <v>197</v>
      </c>
      <c r="C13" s="115">
        <f>BALANCE!C33</f>
        <v>0</v>
      </c>
      <c r="D13" s="115">
        <f>BALANCE!D33-BALANCE!C33</f>
        <v>0</v>
      </c>
      <c r="E13" s="115">
        <f>BALANCE!E33-BALANCE!D33</f>
        <v>0</v>
      </c>
      <c r="F13" s="115">
        <f>BALANCE!F33-BALANCE!E33</f>
        <v>0</v>
      </c>
      <c r="G13" s="115">
        <f>BALANCE!G33-BALANCE!F33</f>
        <v>0</v>
      </c>
      <c r="H13" s="115">
        <f>BALANCE!H33-BALANCE!G33</f>
        <v>0</v>
      </c>
      <c r="I13" s="115">
        <f>BALANCE!I33-BALANCE!H33</f>
        <v>0</v>
      </c>
      <c r="J13" s="279">
        <f>BALANCE!J33-BALANCE!I33</f>
        <v>0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</row>
    <row r="14" spans="1:69" s="15" customFormat="1" x14ac:dyDescent="0.2">
      <c r="A14" s="2"/>
      <c r="B14" s="48" t="s">
        <v>190</v>
      </c>
      <c r="C14" s="115">
        <f>TESORERIA!C22</f>
        <v>0</v>
      </c>
      <c r="D14" s="115">
        <f>TESORERIA!D22</f>
        <v>0</v>
      </c>
      <c r="E14" s="115">
        <f>TESORERIA!E22</f>
        <v>0</v>
      </c>
      <c r="F14" s="115">
        <f>TESORERIA!F22</f>
        <v>0</v>
      </c>
      <c r="G14" s="115">
        <f>TESORERIA!G22</f>
        <v>0</v>
      </c>
      <c r="H14" s="115">
        <f>TESORERIA!H22</f>
        <v>0</v>
      </c>
      <c r="I14" s="115">
        <f>TESORERIA!I22</f>
        <v>0</v>
      </c>
      <c r="J14" s="279">
        <f>TESORERIA!J22</f>
        <v>0</v>
      </c>
    </row>
    <row r="15" spans="1:69" ht="10.8" thickBot="1" x14ac:dyDescent="0.25">
      <c r="B15" s="82" t="s">
        <v>191</v>
      </c>
      <c r="C15" s="182"/>
      <c r="D15" s="182"/>
      <c r="E15" s="182"/>
      <c r="F15" s="182"/>
      <c r="G15" s="182"/>
      <c r="H15" s="182"/>
      <c r="I15" s="182"/>
      <c r="J15" s="183" t="e">
        <f>J11*(1+C5)*(1-C6)/(C3-C5)</f>
        <v>#DIV/0!</v>
      </c>
      <c r="K15" s="27"/>
    </row>
    <row r="16" spans="1:69" s="7" customFormat="1" ht="10.8" thickBot="1" x14ac:dyDescent="0.25">
      <c r="A16" s="2"/>
      <c r="B16" s="70" t="s">
        <v>192</v>
      </c>
      <c r="C16" s="33">
        <f>-C13-C14</f>
        <v>0</v>
      </c>
      <c r="D16" s="33" t="e">
        <f t="shared" ref="D16:I16" si="0">D11+D12-D13-D14</f>
        <v>#DIV/0!</v>
      </c>
      <c r="E16" s="33" t="e">
        <f t="shared" si="0"/>
        <v>#DIV/0!</v>
      </c>
      <c r="F16" s="33" t="e">
        <f t="shared" si="0"/>
        <v>#DIV/0!</v>
      </c>
      <c r="G16" s="33" t="e">
        <f t="shared" si="0"/>
        <v>#DIV/0!</v>
      </c>
      <c r="H16" s="33" t="e">
        <f t="shared" si="0"/>
        <v>#DIV/0!</v>
      </c>
      <c r="I16" s="33" t="e">
        <f t="shared" si="0"/>
        <v>#DIV/0!</v>
      </c>
      <c r="J16" s="377" t="e">
        <f>J11+J12-J13-J14+J15</f>
        <v>#DIV/0!</v>
      </c>
      <c r="K16" s="14"/>
      <c r="L16" s="14"/>
      <c r="M16" s="14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</row>
    <row r="17" spans="1:69" x14ac:dyDescent="0.2">
      <c r="B17" s="227" t="s">
        <v>217</v>
      </c>
      <c r="C17" s="378" t="e">
        <f>NPV(C3,D16:J16)+C16</f>
        <v>#DIV/0!</v>
      </c>
      <c r="D17" s="184"/>
      <c r="E17" s="41"/>
      <c r="F17" s="184" t="s">
        <v>219</v>
      </c>
      <c r="G17" s="379" t="e">
        <f>IRR(C16:J16,0.05)</f>
        <v>#VALUE!</v>
      </c>
      <c r="H17" s="41"/>
      <c r="I17" s="41"/>
      <c r="J17" s="42"/>
    </row>
    <row r="18" spans="1:69" ht="10.8" thickBot="1" x14ac:dyDescent="0.25">
      <c r="B18" s="372" t="s">
        <v>218</v>
      </c>
      <c r="C18" s="375" t="e">
        <f>C17/-C16</f>
        <v>#DIV/0!</v>
      </c>
      <c r="D18" s="4"/>
      <c r="E18" s="374"/>
      <c r="F18" s="374" t="s">
        <v>193</v>
      </c>
      <c r="G18" s="373" t="e">
        <f>MIRR(C16:J16,C3,C4)</f>
        <v>#DIV/0!</v>
      </c>
      <c r="H18" s="4"/>
      <c r="I18" s="4"/>
      <c r="J18" s="38"/>
    </row>
    <row r="19" spans="1:69" x14ac:dyDescent="0.2">
      <c r="A19" s="15"/>
      <c r="B19" s="15"/>
      <c r="C19" s="15"/>
      <c r="F19" s="15"/>
      <c r="G19" s="15"/>
      <c r="H19" s="15"/>
      <c r="I19" s="15"/>
      <c r="J19" s="15"/>
    </row>
    <row r="20" spans="1:69" ht="10.8" thickBot="1" x14ac:dyDescent="0.25">
      <c r="A20" s="15"/>
      <c r="B20" s="15"/>
      <c r="C20" s="8" t="s">
        <v>195</v>
      </c>
      <c r="D20" s="15"/>
      <c r="E20" s="15"/>
      <c r="F20" s="15"/>
      <c r="G20" s="15"/>
      <c r="H20" s="15"/>
      <c r="I20" s="15"/>
      <c r="J20" s="15"/>
    </row>
    <row r="21" spans="1:69" x14ac:dyDescent="0.2">
      <c r="B21" s="127" t="str">
        <f t="shared" ref="B21:J21" si="1">B10</f>
        <v>AÑO</v>
      </c>
      <c r="C21" s="171" t="str">
        <f t="shared" si="1"/>
        <v>Inicio</v>
      </c>
      <c r="D21" s="171">
        <f t="shared" si="1"/>
        <v>1</v>
      </c>
      <c r="E21" s="171">
        <f t="shared" si="1"/>
        <v>2</v>
      </c>
      <c r="F21" s="171">
        <f t="shared" si="1"/>
        <v>3</v>
      </c>
      <c r="G21" s="171">
        <f t="shared" si="1"/>
        <v>4</v>
      </c>
      <c r="H21" s="171">
        <f t="shared" si="1"/>
        <v>5</v>
      </c>
      <c r="I21" s="171">
        <f t="shared" si="1"/>
        <v>6</v>
      </c>
      <c r="J21" s="172">
        <f t="shared" si="1"/>
        <v>7</v>
      </c>
    </row>
    <row r="22" spans="1:69" s="13" customFormat="1" x14ac:dyDescent="0.2">
      <c r="A22" s="2"/>
      <c r="B22" s="48" t="s">
        <v>149</v>
      </c>
      <c r="C22" s="109"/>
      <c r="D22" s="115">
        <f>CTA.RES!C16</f>
        <v>0</v>
      </c>
      <c r="E22" s="115">
        <f>CTA.RES!D16</f>
        <v>0</v>
      </c>
      <c r="F22" s="115">
        <f>CTA.RES!E16</f>
        <v>0</v>
      </c>
      <c r="G22" s="115">
        <f>CTA.RES!F16</f>
        <v>0</v>
      </c>
      <c r="H22" s="115">
        <f>CTA.RES!G16</f>
        <v>0</v>
      </c>
      <c r="I22" s="115">
        <f>CTA.RES!H16</f>
        <v>0</v>
      </c>
      <c r="J22" s="279">
        <f>CTA.RES!I16</f>
        <v>0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</row>
    <row r="23" spans="1:69" s="13" customFormat="1" x14ac:dyDescent="0.2">
      <c r="A23" s="2"/>
      <c r="B23" s="48" t="s">
        <v>196</v>
      </c>
      <c r="C23" s="109"/>
      <c r="D23" s="115">
        <f t="shared" ref="D23:J24" si="2">D12</f>
        <v>0</v>
      </c>
      <c r="E23" s="115">
        <f t="shared" si="2"/>
        <v>0</v>
      </c>
      <c r="F23" s="115">
        <f t="shared" si="2"/>
        <v>0</v>
      </c>
      <c r="G23" s="115">
        <f t="shared" si="2"/>
        <v>0</v>
      </c>
      <c r="H23" s="115">
        <f t="shared" si="2"/>
        <v>0</v>
      </c>
      <c r="I23" s="115">
        <f t="shared" si="2"/>
        <v>0</v>
      </c>
      <c r="J23" s="279">
        <f t="shared" si="2"/>
        <v>0</v>
      </c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</row>
    <row r="24" spans="1:69" s="13" customFormat="1" x14ac:dyDescent="0.2">
      <c r="A24" s="2"/>
      <c r="B24" s="48" t="s">
        <v>197</v>
      </c>
      <c r="C24" s="115">
        <f>C13</f>
        <v>0</v>
      </c>
      <c r="D24" s="115">
        <f t="shared" si="2"/>
        <v>0</v>
      </c>
      <c r="E24" s="115">
        <f t="shared" si="2"/>
        <v>0</v>
      </c>
      <c r="F24" s="115">
        <f t="shared" si="2"/>
        <v>0</v>
      </c>
      <c r="G24" s="115">
        <f t="shared" si="2"/>
        <v>0</v>
      </c>
      <c r="H24" s="115">
        <f t="shared" si="2"/>
        <v>0</v>
      </c>
      <c r="I24" s="115">
        <f t="shared" si="2"/>
        <v>0</v>
      </c>
      <c r="J24" s="279">
        <f t="shared" si="2"/>
        <v>0</v>
      </c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</row>
    <row r="25" spans="1:69" s="13" customFormat="1" x14ac:dyDescent="0.2">
      <c r="A25" s="2"/>
      <c r="B25" s="48" t="s">
        <v>198</v>
      </c>
      <c r="C25" s="115">
        <f>BALANCE!C34</f>
        <v>0</v>
      </c>
      <c r="D25" s="115">
        <f>BALANCE!D34-BALANCE!C34</f>
        <v>0</v>
      </c>
      <c r="E25" s="115">
        <f>BALANCE!E34-BALANCE!D34</f>
        <v>0</v>
      </c>
      <c r="F25" s="115">
        <f>BALANCE!F34-BALANCE!E34</f>
        <v>0</v>
      </c>
      <c r="G25" s="115">
        <f>BALANCE!G34-BALANCE!F34</f>
        <v>0</v>
      </c>
      <c r="H25" s="115">
        <f>BALANCE!H34-BALANCE!G34</f>
        <v>0</v>
      </c>
      <c r="I25" s="115">
        <f>BALANCE!I34-BALANCE!H34</f>
        <v>0</v>
      </c>
      <c r="J25" s="279">
        <f>BALANCE!J34-BALANCE!I34</f>
        <v>0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</row>
    <row r="26" spans="1:69" s="13" customFormat="1" x14ac:dyDescent="0.2">
      <c r="A26" s="2"/>
      <c r="B26" s="48" t="s">
        <v>199</v>
      </c>
      <c r="C26" s="115">
        <f>TESORERIA!C17</f>
        <v>0</v>
      </c>
      <c r="D26" s="115">
        <f>TESORERIA!D17-CTA.RES!C10</f>
        <v>0</v>
      </c>
      <c r="E26" s="115">
        <f>TESORERIA!E17-CTA.RES!D10</f>
        <v>0</v>
      </c>
      <c r="F26" s="115">
        <f>TESORERIA!F17-CTA.RES!E10</f>
        <v>0</v>
      </c>
      <c r="G26" s="115">
        <f>TESORERIA!G17-CTA.RES!F10</f>
        <v>0</v>
      </c>
      <c r="H26" s="115">
        <f>TESORERIA!H17-CTA.RES!G10</f>
        <v>0</v>
      </c>
      <c r="I26" s="115">
        <f>TESORERIA!I17-CTA.RES!H10</f>
        <v>0</v>
      </c>
      <c r="J26" s="279">
        <f>TESORERIA!J17-CTA.RES!I10</f>
        <v>0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</row>
    <row r="27" spans="1:69" s="13" customFormat="1" x14ac:dyDescent="0.2">
      <c r="A27" s="2"/>
      <c r="B27" s="48" t="s">
        <v>190</v>
      </c>
      <c r="C27" s="115">
        <f t="shared" ref="C27:J27" si="3">C14</f>
        <v>0</v>
      </c>
      <c r="D27" s="115">
        <f t="shared" si="3"/>
        <v>0</v>
      </c>
      <c r="E27" s="115">
        <f t="shared" si="3"/>
        <v>0</v>
      </c>
      <c r="F27" s="115">
        <f t="shared" si="3"/>
        <v>0</v>
      </c>
      <c r="G27" s="115">
        <f t="shared" si="3"/>
        <v>0</v>
      </c>
      <c r="H27" s="115">
        <f t="shared" si="3"/>
        <v>0</v>
      </c>
      <c r="I27" s="115">
        <f t="shared" si="3"/>
        <v>0</v>
      </c>
      <c r="J27" s="279">
        <f t="shared" si="3"/>
        <v>0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</row>
    <row r="28" spans="1:69" s="13" customFormat="1" ht="10.8" thickBot="1" x14ac:dyDescent="0.25">
      <c r="A28" s="2"/>
      <c r="B28" s="370" t="s">
        <v>200</v>
      </c>
      <c r="C28" s="319"/>
      <c r="D28" s="371"/>
      <c r="E28" s="371"/>
      <c r="F28" s="371"/>
      <c r="G28" s="371"/>
      <c r="H28" s="371"/>
      <c r="I28" s="371"/>
      <c r="J28" s="320" t="e">
        <f>J15-BALANCE!J34</f>
        <v>#DIV/0!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</row>
    <row r="29" spans="1:69" s="7" customFormat="1" ht="10.8" thickBot="1" x14ac:dyDescent="0.25">
      <c r="A29" s="2"/>
      <c r="B29" s="71" t="s">
        <v>214</v>
      </c>
      <c r="C29" s="189">
        <f>C22+C23-C24+C25+C26-C27+C28</f>
        <v>0</v>
      </c>
      <c r="D29" s="189">
        <f t="shared" ref="D29:J29" si="4">D22+D23-D24+D25+D26-D27+D28</f>
        <v>0</v>
      </c>
      <c r="E29" s="189">
        <f t="shared" si="4"/>
        <v>0</v>
      </c>
      <c r="F29" s="189">
        <f t="shared" si="4"/>
        <v>0</v>
      </c>
      <c r="G29" s="189">
        <f t="shared" si="4"/>
        <v>0</v>
      </c>
      <c r="H29" s="189">
        <f t="shared" si="4"/>
        <v>0</v>
      </c>
      <c r="I29" s="189">
        <f t="shared" si="4"/>
        <v>0</v>
      </c>
      <c r="J29" s="280" t="e">
        <f t="shared" si="4"/>
        <v>#DIV/0!</v>
      </c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</row>
    <row r="30" spans="1:69" ht="10.8" thickBot="1" x14ac:dyDescent="0.25">
      <c r="B30" s="224" t="s">
        <v>220</v>
      </c>
      <c r="C30" s="376" t="e">
        <f>IRR(C29:J29,0.05)</f>
        <v>#VALUE!</v>
      </c>
      <c r="D30" s="146"/>
      <c r="E30" s="146"/>
      <c r="F30" s="146"/>
      <c r="G30" s="203"/>
      <c r="H30" s="203"/>
      <c r="I30" s="203"/>
      <c r="J30" s="204"/>
    </row>
    <row r="31" spans="1:69" x14ac:dyDescent="0.2">
      <c r="A31" s="27"/>
      <c r="B31" s="27"/>
      <c r="C31" s="27"/>
      <c r="D31" s="27"/>
      <c r="E31" s="27"/>
      <c r="F31" s="27"/>
      <c r="G31" s="27"/>
      <c r="H31" s="27"/>
      <c r="I31" s="27"/>
      <c r="J31" s="27"/>
    </row>
    <row r="32" spans="1:69" x14ac:dyDescent="0.2">
      <c r="A32" s="27"/>
      <c r="B32" s="27"/>
      <c r="C32" s="27"/>
      <c r="D32" s="27"/>
      <c r="E32" s="27"/>
      <c r="F32" s="27"/>
      <c r="G32" s="34"/>
      <c r="H32" s="34"/>
      <c r="I32" s="34"/>
      <c r="J32" s="34"/>
    </row>
    <row r="33" spans="1:3" x14ac:dyDescent="0.2">
      <c r="A33" s="34"/>
      <c r="B33" s="347" t="s">
        <v>208</v>
      </c>
      <c r="C33" s="348" t="e">
        <f>C17</f>
        <v>#DIV/0!</v>
      </c>
    </row>
    <row r="34" spans="1:3" x14ac:dyDescent="0.2">
      <c r="B34" s="362">
        <f>C4+0.01</f>
        <v>0.01</v>
      </c>
      <c r="C34" s="363" t="e">
        <f t="dataTable" ref="C34:C64" dt2D="0" dtr="0" r1="C3" ca="1"/>
        <v>#DIV/0!</v>
      </c>
    </row>
    <row r="35" spans="1:3" x14ac:dyDescent="0.2">
      <c r="B35" s="364">
        <f>B34+0.01</f>
        <v>0.02</v>
      </c>
      <c r="C35" s="365" t="e">
        <v>#DIV/0!</v>
      </c>
    </row>
    <row r="36" spans="1:3" x14ac:dyDescent="0.2">
      <c r="B36" s="364">
        <f t="shared" ref="B36:B64" si="5">B35+0.01</f>
        <v>0.03</v>
      </c>
      <c r="C36" s="365" t="e">
        <v>#DIV/0!</v>
      </c>
    </row>
    <row r="37" spans="1:3" x14ac:dyDescent="0.2">
      <c r="B37" s="364">
        <f t="shared" si="5"/>
        <v>0.04</v>
      </c>
      <c r="C37" s="365" t="e">
        <v>#DIV/0!</v>
      </c>
    </row>
    <row r="38" spans="1:3" x14ac:dyDescent="0.2">
      <c r="B38" s="364">
        <f t="shared" si="5"/>
        <v>0.05</v>
      </c>
      <c r="C38" s="365" t="e">
        <v>#DIV/0!</v>
      </c>
    </row>
    <row r="39" spans="1:3" x14ac:dyDescent="0.2">
      <c r="B39" s="364">
        <f t="shared" si="5"/>
        <v>6.0000000000000005E-2</v>
      </c>
      <c r="C39" s="365" t="e">
        <v>#DIV/0!</v>
      </c>
    </row>
    <row r="40" spans="1:3" x14ac:dyDescent="0.2">
      <c r="B40" s="364">
        <f t="shared" si="5"/>
        <v>7.0000000000000007E-2</v>
      </c>
      <c r="C40" s="365" t="e">
        <v>#DIV/0!</v>
      </c>
    </row>
    <row r="41" spans="1:3" x14ac:dyDescent="0.2">
      <c r="B41" s="364">
        <f t="shared" si="5"/>
        <v>0.08</v>
      </c>
      <c r="C41" s="365" t="e">
        <v>#DIV/0!</v>
      </c>
    </row>
    <row r="42" spans="1:3" x14ac:dyDescent="0.2">
      <c r="B42" s="364">
        <f t="shared" si="5"/>
        <v>0.09</v>
      </c>
      <c r="C42" s="365" t="e">
        <v>#DIV/0!</v>
      </c>
    </row>
    <row r="43" spans="1:3" x14ac:dyDescent="0.2">
      <c r="B43" s="364">
        <f t="shared" si="5"/>
        <v>9.9999999999999992E-2</v>
      </c>
      <c r="C43" s="365" t="e">
        <v>#DIV/0!</v>
      </c>
    </row>
    <row r="44" spans="1:3" x14ac:dyDescent="0.2">
      <c r="B44" s="364">
        <f t="shared" si="5"/>
        <v>0.10999999999999999</v>
      </c>
      <c r="C44" s="365" t="e">
        <v>#DIV/0!</v>
      </c>
    </row>
    <row r="45" spans="1:3" x14ac:dyDescent="0.2">
      <c r="B45" s="364">
        <f t="shared" si="5"/>
        <v>0.11999999999999998</v>
      </c>
      <c r="C45" s="365" t="e">
        <v>#DIV/0!</v>
      </c>
    </row>
    <row r="46" spans="1:3" x14ac:dyDescent="0.2">
      <c r="B46" s="364">
        <f t="shared" si="5"/>
        <v>0.12999999999999998</v>
      </c>
      <c r="C46" s="365" t="e">
        <v>#DIV/0!</v>
      </c>
    </row>
    <row r="47" spans="1:3" x14ac:dyDescent="0.2">
      <c r="B47" s="364">
        <f t="shared" si="5"/>
        <v>0.13999999999999999</v>
      </c>
      <c r="C47" s="365" t="e">
        <v>#DIV/0!</v>
      </c>
    </row>
    <row r="48" spans="1:3" x14ac:dyDescent="0.2">
      <c r="B48" s="364">
        <f>B47+0.01</f>
        <v>0.15</v>
      </c>
      <c r="C48" s="365" t="e">
        <v>#DIV/0!</v>
      </c>
    </row>
    <row r="49" spans="2:3" x14ac:dyDescent="0.2">
      <c r="B49" s="364">
        <f t="shared" si="5"/>
        <v>0.16</v>
      </c>
      <c r="C49" s="365" t="e">
        <v>#DIV/0!</v>
      </c>
    </row>
    <row r="50" spans="2:3" x14ac:dyDescent="0.2">
      <c r="B50" s="364">
        <f t="shared" si="5"/>
        <v>0.17</v>
      </c>
      <c r="C50" s="365" t="e">
        <v>#DIV/0!</v>
      </c>
    </row>
    <row r="51" spans="2:3" x14ac:dyDescent="0.2">
      <c r="B51" s="364">
        <f t="shared" si="5"/>
        <v>0.18000000000000002</v>
      </c>
      <c r="C51" s="365" t="e">
        <v>#DIV/0!</v>
      </c>
    </row>
    <row r="52" spans="2:3" x14ac:dyDescent="0.2">
      <c r="B52" s="364">
        <f t="shared" si="5"/>
        <v>0.19000000000000003</v>
      </c>
      <c r="C52" s="365" t="e">
        <v>#DIV/0!</v>
      </c>
    </row>
    <row r="53" spans="2:3" x14ac:dyDescent="0.2">
      <c r="B53" s="364">
        <f t="shared" si="5"/>
        <v>0.20000000000000004</v>
      </c>
      <c r="C53" s="365" t="e">
        <v>#DIV/0!</v>
      </c>
    </row>
    <row r="54" spans="2:3" x14ac:dyDescent="0.2">
      <c r="B54" s="364">
        <f t="shared" si="5"/>
        <v>0.21000000000000005</v>
      </c>
      <c r="C54" s="365" t="e">
        <v>#DIV/0!</v>
      </c>
    </row>
    <row r="55" spans="2:3" x14ac:dyDescent="0.2">
      <c r="B55" s="364">
        <f>B54+0.01</f>
        <v>0.22000000000000006</v>
      </c>
      <c r="C55" s="365" t="e">
        <v>#DIV/0!</v>
      </c>
    </row>
    <row r="56" spans="2:3" x14ac:dyDescent="0.2">
      <c r="B56" s="364">
        <f t="shared" si="5"/>
        <v>0.23000000000000007</v>
      </c>
      <c r="C56" s="365" t="e">
        <v>#DIV/0!</v>
      </c>
    </row>
    <row r="57" spans="2:3" x14ac:dyDescent="0.2">
      <c r="B57" s="364">
        <f t="shared" si="5"/>
        <v>0.24000000000000007</v>
      </c>
      <c r="C57" s="365" t="e">
        <v>#DIV/0!</v>
      </c>
    </row>
    <row r="58" spans="2:3" x14ac:dyDescent="0.2">
      <c r="B58" s="364">
        <f t="shared" si="5"/>
        <v>0.25000000000000006</v>
      </c>
      <c r="C58" s="365" t="e">
        <v>#DIV/0!</v>
      </c>
    </row>
    <row r="59" spans="2:3" x14ac:dyDescent="0.2">
      <c r="B59" s="364">
        <f t="shared" si="5"/>
        <v>0.26000000000000006</v>
      </c>
      <c r="C59" s="365" t="e">
        <v>#DIV/0!</v>
      </c>
    </row>
    <row r="60" spans="2:3" x14ac:dyDescent="0.2">
      <c r="B60" s="364">
        <f t="shared" si="5"/>
        <v>0.27000000000000007</v>
      </c>
      <c r="C60" s="365" t="e">
        <v>#DIV/0!</v>
      </c>
    </row>
    <row r="61" spans="2:3" x14ac:dyDescent="0.2">
      <c r="B61" s="364">
        <f t="shared" si="5"/>
        <v>0.28000000000000008</v>
      </c>
      <c r="C61" s="365" t="e">
        <v>#DIV/0!</v>
      </c>
    </row>
    <row r="62" spans="2:3" x14ac:dyDescent="0.2">
      <c r="B62" s="364">
        <f t="shared" si="5"/>
        <v>0.29000000000000009</v>
      </c>
      <c r="C62" s="365" t="e">
        <v>#DIV/0!</v>
      </c>
    </row>
    <row r="63" spans="2:3" x14ac:dyDescent="0.2">
      <c r="B63" s="364">
        <f>B62+0.01</f>
        <v>0.3000000000000001</v>
      </c>
      <c r="C63" s="365" t="e">
        <v>#DIV/0!</v>
      </c>
    </row>
    <row r="64" spans="2:3" x14ac:dyDescent="0.2">
      <c r="B64" s="366">
        <f t="shared" si="5"/>
        <v>0.31000000000000011</v>
      </c>
      <c r="C64" s="367" t="e">
        <v>#DIV/0!</v>
      </c>
    </row>
  </sheetData>
  <customSheetViews>
    <customSheetView guid="{D4D7EB23-CC17-11D2-866F-0020AFB54048}" showPageBreaks="1" printArea="1" showRuler="0">
      <selection activeCell="C12" sqref="C12"/>
      <pageMargins left="0.25" right="0.31" top="0.33" bottom="0.25" header="0.22" footer="0.26"/>
      <printOptions headings="1"/>
      <pageSetup paperSize="9" orientation="landscape" horizontalDpi="300" verticalDpi="300" r:id="rId1"/>
      <headerFooter alignWithMargins="0">
        <oddHeader>&amp;A</oddHeader>
        <oddFooter>&amp;LMODELEVA&amp;CDEPTO. ECONOMIA FINANCIERA&amp;RUNIVERSIDAD DE SANTIAGO</oddFooter>
      </headerFooter>
    </customSheetView>
    <customSheetView guid="{D4D7EB24-CC17-11D2-866F-0020AFB54048}" showPageBreaks="1" printArea="1" showRuler="0">
      <selection activeCell="C12" sqref="C12"/>
      <pageMargins left="0.25" right="0.31" top="0.33" bottom="0.25" header="0.22" footer="0.26"/>
      <printOptions headings="1"/>
      <pageSetup paperSize="9" orientation="landscape" horizontalDpi="300" verticalDpi="300" r:id="rId2"/>
      <headerFooter alignWithMargins="0">
        <oddHeader>&amp;A</oddHeader>
        <oddFooter>&amp;LMODELEVA&amp;CDEPTO. ECONOMIA FINANCIERA&amp;RUNIVERSIDAD DE SANTIAGO</oddFooter>
      </headerFooter>
    </customSheetView>
  </customSheetViews>
  <phoneticPr fontId="4" type="noConversion"/>
  <printOptions headings="1"/>
  <pageMargins left="0.9055118110236221" right="0.35433070866141736" top="0.4" bottom="0.85" header="0.21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drawing r:id="rId4"/>
  <legacy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2:K70"/>
  <sheetViews>
    <sheetView showGridLines="0" zoomScaleNormal="100" workbookViewId="0">
      <selection activeCell="E9" sqref="E9"/>
    </sheetView>
  </sheetViews>
  <sheetFormatPr baseColWidth="10" defaultRowHeight="10.199999999999999" x14ac:dyDescent="0.2"/>
  <cols>
    <col min="1" max="1" width="11.44140625" style="2" customWidth="1"/>
    <col min="2" max="2" width="15.88671875" style="2" customWidth="1"/>
    <col min="3" max="3" width="15" style="2" customWidth="1"/>
    <col min="4" max="4" width="15.33203125" style="2" customWidth="1"/>
    <col min="5" max="8" width="11.77734375" style="2" customWidth="1"/>
    <col min="9" max="9" width="13.33203125" style="2" bestFit="1" customWidth="1"/>
    <col min="10" max="10" width="11.5546875" style="2"/>
    <col min="11" max="11" width="9.44140625" style="2" customWidth="1"/>
    <col min="12" max="16384" width="11.5546875" style="2"/>
  </cols>
  <sheetData>
    <row r="2" spans="1:11" ht="10.8" thickBot="1" x14ac:dyDescent="0.25"/>
    <row r="3" spans="1:11" x14ac:dyDescent="0.2">
      <c r="B3" s="60"/>
      <c r="C3" s="41"/>
      <c r="D3" s="41"/>
      <c r="E3" s="41"/>
      <c r="F3" s="42"/>
    </row>
    <row r="4" spans="1:11" x14ac:dyDescent="0.2">
      <c r="A4" s="13"/>
      <c r="B4" s="128" t="s">
        <v>13</v>
      </c>
      <c r="C4" s="124" t="s">
        <v>14</v>
      </c>
      <c r="D4" s="124" t="s">
        <v>54</v>
      </c>
      <c r="E4" s="124" t="s">
        <v>65</v>
      </c>
      <c r="F4" s="193" t="s">
        <v>53</v>
      </c>
    </row>
    <row r="5" spans="1:11" x14ac:dyDescent="0.2">
      <c r="A5" s="13"/>
      <c r="B5" s="45"/>
      <c r="C5" s="198" t="str">
        <f>INPUTS!C2</f>
        <v>Base</v>
      </c>
      <c r="D5" s="46"/>
      <c r="E5" s="46"/>
      <c r="F5" s="47"/>
    </row>
    <row r="6" spans="1:11" x14ac:dyDescent="0.2">
      <c r="A6" s="13"/>
      <c r="B6" s="48"/>
      <c r="C6" s="23" t="str">
        <f>"Escenario  "&amp;C5</f>
        <v>Escenario  Base</v>
      </c>
      <c r="D6" s="46"/>
      <c r="E6" s="46"/>
      <c r="F6" s="47"/>
    </row>
    <row r="7" spans="1:11" x14ac:dyDescent="0.2">
      <c r="A7" s="13"/>
      <c r="B7" s="36" t="s">
        <v>58</v>
      </c>
      <c r="C7" s="49">
        <f t="shared" ref="C7:C12" si="0">IF($C$5=$D$4,D7,IF($C$5=$F$4,F7,E7))</f>
        <v>1</v>
      </c>
      <c r="D7" s="194">
        <f>INPUTS!C98</f>
        <v>0</v>
      </c>
      <c r="E7" s="194">
        <v>1</v>
      </c>
      <c r="F7" s="195">
        <f>INPUTS!D98</f>
        <v>0</v>
      </c>
      <c r="K7" s="18"/>
    </row>
    <row r="8" spans="1:11" x14ac:dyDescent="0.2">
      <c r="A8" s="13"/>
      <c r="B8" s="36" t="s">
        <v>63</v>
      </c>
      <c r="C8" s="49">
        <f t="shared" si="0"/>
        <v>1</v>
      </c>
      <c r="D8" s="194">
        <f>INPUTS!C99</f>
        <v>0</v>
      </c>
      <c r="E8" s="194">
        <v>1</v>
      </c>
      <c r="F8" s="195">
        <f>INPUTS!D99</f>
        <v>0</v>
      </c>
      <c r="K8" s="253"/>
    </row>
    <row r="9" spans="1:11" x14ac:dyDescent="0.2">
      <c r="A9" s="13"/>
      <c r="B9" s="36" t="s">
        <v>59</v>
      </c>
      <c r="C9" s="49">
        <f t="shared" si="0"/>
        <v>1</v>
      </c>
      <c r="D9" s="194">
        <f>INPUTS!C100</f>
        <v>0</v>
      </c>
      <c r="E9" s="194">
        <v>1</v>
      </c>
      <c r="F9" s="195">
        <f>INPUTS!D100</f>
        <v>0</v>
      </c>
      <c r="K9" s="253"/>
    </row>
    <row r="10" spans="1:11" x14ac:dyDescent="0.2">
      <c r="A10" s="13"/>
      <c r="B10" s="36" t="s">
        <v>60</v>
      </c>
      <c r="C10" s="49">
        <f t="shared" si="0"/>
        <v>1</v>
      </c>
      <c r="D10" s="194">
        <f>INPUTS!C101</f>
        <v>0</v>
      </c>
      <c r="E10" s="194">
        <v>1</v>
      </c>
      <c r="F10" s="195">
        <f>INPUTS!D101</f>
        <v>0</v>
      </c>
      <c r="K10" s="253"/>
    </row>
    <row r="11" spans="1:11" x14ac:dyDescent="0.2">
      <c r="A11" s="13"/>
      <c r="B11" s="36" t="s">
        <v>61</v>
      </c>
      <c r="C11" s="49">
        <f t="shared" si="0"/>
        <v>1</v>
      </c>
      <c r="D11" s="194">
        <f>INPUTS!C102</f>
        <v>0</v>
      </c>
      <c r="E11" s="194">
        <v>1</v>
      </c>
      <c r="F11" s="195">
        <f>INPUTS!D102</f>
        <v>0</v>
      </c>
      <c r="K11" s="253"/>
    </row>
    <row r="12" spans="1:11" ht="10.8" thickBot="1" x14ac:dyDescent="0.25">
      <c r="A12" s="13"/>
      <c r="B12" s="39" t="s">
        <v>62</v>
      </c>
      <c r="C12" s="51">
        <f t="shared" si="0"/>
        <v>1</v>
      </c>
      <c r="D12" s="196">
        <f>INPUTS!C103</f>
        <v>0</v>
      </c>
      <c r="E12" s="196">
        <v>1</v>
      </c>
      <c r="F12" s="197">
        <f>INPUTS!D103</f>
        <v>0</v>
      </c>
      <c r="K12" s="253"/>
    </row>
    <row r="13" spans="1:11" x14ac:dyDescent="0.2">
      <c r="B13" s="45"/>
      <c r="C13" s="34"/>
      <c r="D13" s="34"/>
      <c r="E13" s="34"/>
      <c r="F13" s="37"/>
    </row>
    <row r="14" spans="1:11" ht="10.8" thickBot="1" x14ac:dyDescent="0.25">
      <c r="B14" s="45"/>
      <c r="C14" s="34"/>
      <c r="D14" s="212" t="str">
        <f>D4</f>
        <v>Pesimista</v>
      </c>
      <c r="E14" s="212" t="str">
        <f>E4</f>
        <v>Base</v>
      </c>
      <c r="F14" s="338" t="str">
        <f>F4</f>
        <v>Optimista</v>
      </c>
    </row>
    <row r="15" spans="1:11" x14ac:dyDescent="0.2">
      <c r="B15" s="45"/>
      <c r="C15" s="336" t="e">
        <f>RENTABILIDAD!$C$17</f>
        <v>#DIV/0!</v>
      </c>
      <c r="D15" s="207" t="e">
        <f t="dataTable" ref="D15:F17" dt2D="0" dtr="1" r1="C5" ca="1"/>
        <v>#DIV/0!</v>
      </c>
      <c r="E15" s="208" t="e">
        <v>#DIV/0!</v>
      </c>
      <c r="F15" s="209" t="e">
        <v>#DIV/0!</v>
      </c>
    </row>
    <row r="16" spans="1:11" x14ac:dyDescent="0.2">
      <c r="B16" s="45"/>
      <c r="C16" s="337" t="e">
        <f>RENTABILIDAD!$G$17</f>
        <v>#VALUE!</v>
      </c>
      <c r="D16" s="205" t="e">
        <v>#VALUE!</v>
      </c>
      <c r="E16" s="119" t="e">
        <v>#VALUE!</v>
      </c>
      <c r="F16" s="210" t="e">
        <v>#VALUE!</v>
      </c>
    </row>
    <row r="17" spans="2:6" ht="10.8" thickBot="1" x14ac:dyDescent="0.25">
      <c r="B17" s="45"/>
      <c r="C17" s="380" t="e">
        <f>RENTABILIDAD!$C$30</f>
        <v>#VALUE!</v>
      </c>
      <c r="D17" s="206" t="e">
        <v>#VALUE!</v>
      </c>
      <c r="E17" s="120" t="e">
        <v>#VALUE!</v>
      </c>
      <c r="F17" s="211" t="e">
        <v>#VALUE!</v>
      </c>
    </row>
    <row r="18" spans="2:6" ht="10.8" thickBot="1" x14ac:dyDescent="0.25">
      <c r="B18" s="68"/>
      <c r="C18" s="4"/>
      <c r="D18" s="4"/>
      <c r="E18" s="4"/>
      <c r="F18" s="38"/>
    </row>
    <row r="39" spans="2:6" ht="10.8" thickBot="1" x14ac:dyDescent="0.25">
      <c r="C39" s="3" t="s">
        <v>66</v>
      </c>
    </row>
    <row r="40" spans="2:6" x14ac:dyDescent="0.2">
      <c r="B40" s="60"/>
      <c r="C40" s="236" t="str">
        <f>D4</f>
        <v>Pesimista</v>
      </c>
      <c r="D40" s="236" t="str">
        <f>E4</f>
        <v>Base</v>
      </c>
      <c r="E40" s="368" t="str">
        <f>F4</f>
        <v>Optimista</v>
      </c>
    </row>
    <row r="41" spans="2:6" x14ac:dyDescent="0.2">
      <c r="B41" s="69" t="str">
        <f>B7</f>
        <v>Inversión</v>
      </c>
      <c r="C41" s="254">
        <f>D7</f>
        <v>0</v>
      </c>
      <c r="D41" s="254">
        <f>E7</f>
        <v>1</v>
      </c>
      <c r="E41" s="255">
        <f>F7</f>
        <v>0</v>
      </c>
      <c r="F41" s="103"/>
    </row>
    <row r="42" spans="2:6" x14ac:dyDescent="0.2">
      <c r="B42" s="257" t="e">
        <f>C15</f>
        <v>#DIV/0!</v>
      </c>
      <c r="C42" s="258" t="e">
        <f t="dataTable" ref="C42:E42" dt2D="0" dtr="1" r1="C7"/>
        <v>#DIV/0!</v>
      </c>
      <c r="D42" s="258" t="e">
        <v>#DIV/0!</v>
      </c>
      <c r="E42" s="259" t="e">
        <v>#DIV/0!</v>
      </c>
      <c r="F42" s="103"/>
    </row>
    <row r="43" spans="2:6" x14ac:dyDescent="0.2">
      <c r="B43" s="69" t="str">
        <f>B8</f>
        <v>Nivel de Actividad</v>
      </c>
      <c r="C43" s="254">
        <f>D8</f>
        <v>0</v>
      </c>
      <c r="D43" s="254">
        <f>E8</f>
        <v>1</v>
      </c>
      <c r="E43" s="255">
        <f>F8</f>
        <v>0</v>
      </c>
      <c r="F43" s="103"/>
    </row>
    <row r="44" spans="2:6" x14ac:dyDescent="0.2">
      <c r="B44" s="257" t="e">
        <f>C15</f>
        <v>#DIV/0!</v>
      </c>
      <c r="C44" s="258" t="e">
        <f t="dataTable" ref="C44:E44" dt2D="0" dtr="1" r1="C8" ca="1"/>
        <v>#DIV/0!</v>
      </c>
      <c r="D44" s="258" t="e">
        <v>#DIV/0!</v>
      </c>
      <c r="E44" s="259" t="e">
        <v>#DIV/0!</v>
      </c>
      <c r="F44" s="103"/>
    </row>
    <row r="45" spans="2:6" x14ac:dyDescent="0.2">
      <c r="B45" s="69" t="str">
        <f>B9</f>
        <v>Precio</v>
      </c>
      <c r="C45" s="254">
        <f>D9</f>
        <v>0</v>
      </c>
      <c r="D45" s="254">
        <f>E9</f>
        <v>1</v>
      </c>
      <c r="E45" s="255">
        <f>F9</f>
        <v>0</v>
      </c>
      <c r="F45" s="103"/>
    </row>
    <row r="46" spans="2:6" x14ac:dyDescent="0.2">
      <c r="B46" s="257" t="e">
        <f>C15</f>
        <v>#DIV/0!</v>
      </c>
      <c r="C46" s="258" t="e">
        <f t="dataTable" ref="C46:E46" dt2D="0" dtr="1" r1="C9" ca="1"/>
        <v>#DIV/0!</v>
      </c>
      <c r="D46" s="258" t="e">
        <v>#DIV/0!</v>
      </c>
      <c r="E46" s="259" t="e">
        <v>#DIV/0!</v>
      </c>
      <c r="F46" s="103"/>
    </row>
    <row r="47" spans="2:6" x14ac:dyDescent="0.2">
      <c r="B47" s="69" t="str">
        <f>B10</f>
        <v>Costes</v>
      </c>
      <c r="C47" s="254">
        <f>D10</f>
        <v>0</v>
      </c>
      <c r="D47" s="254">
        <f>E10</f>
        <v>1</v>
      </c>
      <c r="E47" s="255">
        <f>F10</f>
        <v>0</v>
      </c>
      <c r="F47" s="103"/>
    </row>
    <row r="48" spans="2:6" x14ac:dyDescent="0.2">
      <c r="B48" s="257" t="e">
        <f>C15</f>
        <v>#DIV/0!</v>
      </c>
      <c r="C48" s="258" t="e">
        <f t="dataTable" ref="C48:E48" dt2D="0" dtr="1" r1="C10" ca="1"/>
        <v>#DIV/0!</v>
      </c>
      <c r="D48" s="258" t="e">
        <v>#DIV/0!</v>
      </c>
      <c r="E48" s="259" t="e">
        <v>#DIV/0!</v>
      </c>
      <c r="F48" s="103"/>
    </row>
    <row r="49" spans="2:6" x14ac:dyDescent="0.2">
      <c r="B49" s="69" t="str">
        <f>B11</f>
        <v>Crecimiento</v>
      </c>
      <c r="C49" s="254">
        <f>D11</f>
        <v>0</v>
      </c>
      <c r="D49" s="254">
        <f>E11</f>
        <v>1</v>
      </c>
      <c r="E49" s="255">
        <f>F11</f>
        <v>0</v>
      </c>
    </row>
    <row r="50" spans="2:6" x14ac:dyDescent="0.2">
      <c r="B50" s="257" t="e">
        <f>C15</f>
        <v>#DIV/0!</v>
      </c>
      <c r="C50" s="258" t="e">
        <f t="dataTable" ref="C50:E50" dt2D="0" dtr="1" r1="C11" ca="1"/>
        <v>#DIV/0!</v>
      </c>
      <c r="D50" s="258" t="e">
        <v>#DIV/0!</v>
      </c>
      <c r="E50" s="259" t="e">
        <v>#DIV/0!</v>
      </c>
      <c r="F50" s="92"/>
    </row>
    <row r="51" spans="2:6" x14ac:dyDescent="0.2">
      <c r="B51" s="69" t="str">
        <f>B12</f>
        <v>Subvenciones</v>
      </c>
      <c r="C51" s="254">
        <f>D12</f>
        <v>0</v>
      </c>
      <c r="D51" s="254">
        <f>E12</f>
        <v>1</v>
      </c>
      <c r="E51" s="255">
        <f>F12</f>
        <v>0</v>
      </c>
      <c r="F51" s="92"/>
    </row>
    <row r="52" spans="2:6" ht="10.8" thickBot="1" x14ac:dyDescent="0.25">
      <c r="B52" s="262" t="e">
        <f>C15</f>
        <v>#DIV/0!</v>
      </c>
      <c r="C52" s="263" t="e">
        <f t="dataTable" ref="C52:E52" dt2D="0" dtr="1" r1="C12" ca="1"/>
        <v>#DIV/0!</v>
      </c>
      <c r="D52" s="263" t="e">
        <v>#DIV/0!</v>
      </c>
      <c r="E52" s="264" t="e">
        <v>#DIV/0!</v>
      </c>
      <c r="F52" s="92"/>
    </row>
    <row r="53" spans="2:6" x14ac:dyDescent="0.2">
      <c r="F53" s="92"/>
    </row>
    <row r="54" spans="2:6" x14ac:dyDescent="0.2">
      <c r="B54" s="3" t="s">
        <v>56</v>
      </c>
    </row>
    <row r="55" spans="2:6" ht="10.8" thickBot="1" x14ac:dyDescent="0.25">
      <c r="C55" s="122" t="str">
        <f>C40</f>
        <v>Pesimista</v>
      </c>
      <c r="D55" s="122" t="str">
        <f>E40</f>
        <v>Optimista</v>
      </c>
      <c r="E55" s="122" t="s">
        <v>55</v>
      </c>
      <c r="F55" s="122" t="s">
        <v>64</v>
      </c>
    </row>
    <row r="56" spans="2:6" x14ac:dyDescent="0.2">
      <c r="B56" s="60" t="str">
        <f>B41</f>
        <v>Inversión</v>
      </c>
      <c r="C56" s="325" t="e">
        <f>C42-C15</f>
        <v>#DIV/0!</v>
      </c>
      <c r="D56" s="325" t="e">
        <f>E42-C15</f>
        <v>#DIV/0!</v>
      </c>
      <c r="E56" s="326" t="e">
        <f t="shared" ref="E56:E61" si="1">ABS(D56-C56)</f>
        <v>#DIV/0!</v>
      </c>
      <c r="F56" s="256" t="e">
        <f t="shared" ref="F56:F61" si="2">RANK(E56,$E$56:$E$61)</f>
        <v>#DIV/0!</v>
      </c>
    </row>
    <row r="57" spans="2:6" x14ac:dyDescent="0.2">
      <c r="B57" s="45" t="str">
        <f>B43</f>
        <v>Nivel de Actividad</v>
      </c>
      <c r="C57" s="258" t="e">
        <f>C44-C15</f>
        <v>#DIV/0!</v>
      </c>
      <c r="D57" s="258" t="e">
        <f>E44-C15</f>
        <v>#DIV/0!</v>
      </c>
      <c r="E57" s="259" t="e">
        <f t="shared" si="1"/>
        <v>#DIV/0!</v>
      </c>
      <c r="F57" s="260" t="e">
        <f t="shared" si="2"/>
        <v>#DIV/0!</v>
      </c>
    </row>
    <row r="58" spans="2:6" x14ac:dyDescent="0.2">
      <c r="B58" s="45" t="str">
        <f>B45</f>
        <v>Precio</v>
      </c>
      <c r="C58" s="258" t="e">
        <f>C46-C15</f>
        <v>#DIV/0!</v>
      </c>
      <c r="D58" s="258" t="e">
        <f>E46-C15</f>
        <v>#DIV/0!</v>
      </c>
      <c r="E58" s="259" t="e">
        <f t="shared" si="1"/>
        <v>#DIV/0!</v>
      </c>
      <c r="F58" s="260" t="e">
        <f t="shared" si="2"/>
        <v>#DIV/0!</v>
      </c>
    </row>
    <row r="59" spans="2:6" x14ac:dyDescent="0.2">
      <c r="B59" s="45" t="str">
        <f>B47</f>
        <v>Costes</v>
      </c>
      <c r="C59" s="258" t="e">
        <f>C48-C15</f>
        <v>#DIV/0!</v>
      </c>
      <c r="D59" s="258" t="e">
        <f>E48-C15</f>
        <v>#DIV/0!</v>
      </c>
      <c r="E59" s="259" t="e">
        <f t="shared" si="1"/>
        <v>#DIV/0!</v>
      </c>
      <c r="F59" s="260" t="e">
        <f t="shared" si="2"/>
        <v>#DIV/0!</v>
      </c>
    </row>
    <row r="60" spans="2:6" x14ac:dyDescent="0.2">
      <c r="B60" s="45" t="str">
        <f>B49</f>
        <v>Crecimiento</v>
      </c>
      <c r="C60" s="258" t="e">
        <f>C50-C15</f>
        <v>#DIV/0!</v>
      </c>
      <c r="D60" s="258" t="e">
        <f>E50-C15</f>
        <v>#DIV/0!</v>
      </c>
      <c r="E60" s="259" t="e">
        <f t="shared" si="1"/>
        <v>#DIV/0!</v>
      </c>
      <c r="F60" s="260" t="e">
        <f t="shared" si="2"/>
        <v>#DIV/0!</v>
      </c>
    </row>
    <row r="61" spans="2:6" ht="10.8" thickBot="1" x14ac:dyDescent="0.25">
      <c r="B61" s="68" t="str">
        <f>B51</f>
        <v>Subvenciones</v>
      </c>
      <c r="C61" s="263" t="e">
        <f>C52-C15</f>
        <v>#DIV/0!</v>
      </c>
      <c r="D61" s="263" t="e">
        <f>E52-C15</f>
        <v>#DIV/0!</v>
      </c>
      <c r="E61" s="264" t="e">
        <f t="shared" si="1"/>
        <v>#DIV/0!</v>
      </c>
      <c r="F61" s="261" t="e">
        <f t="shared" si="2"/>
        <v>#DIV/0!</v>
      </c>
    </row>
    <row r="62" spans="2:6" x14ac:dyDescent="0.2">
      <c r="C62" s="103"/>
      <c r="D62" s="103"/>
      <c r="E62" s="103"/>
    </row>
    <row r="63" spans="2:6" x14ac:dyDescent="0.2">
      <c r="B63" s="3" t="s">
        <v>57</v>
      </c>
      <c r="C63" s="103"/>
      <c r="D63" s="103"/>
      <c r="E63" s="103"/>
    </row>
    <row r="64" spans="2:6" ht="10.8" thickBot="1" x14ac:dyDescent="0.25">
      <c r="C64" s="122" t="str">
        <f>C55</f>
        <v>Pesimista</v>
      </c>
      <c r="D64" s="122" t="str">
        <f>D55</f>
        <v>Optimista</v>
      </c>
      <c r="E64" s="122" t="str">
        <f>E55</f>
        <v>Diferencia</v>
      </c>
    </row>
    <row r="65" spans="2:5" x14ac:dyDescent="0.2">
      <c r="B65" s="60" t="e">
        <f ca="1">OFFSET(B$55,MATCH(1,$F$56:$F$61,0),0)</f>
        <v>#N/A</v>
      </c>
      <c r="C65" s="325" t="e">
        <f ca="1">OFFSET(C$55,MATCH(1,$F$56:$F$61,0),0)</f>
        <v>#N/A</v>
      </c>
      <c r="D65" s="325" t="e">
        <f ca="1">OFFSET(D$55,MATCH(1,$F$56:$F$61,0),0)</f>
        <v>#N/A</v>
      </c>
      <c r="E65" s="326" t="e">
        <f ca="1">OFFSET(E$55,MATCH(1,$F$56:$F$61,0),0)</f>
        <v>#N/A</v>
      </c>
    </row>
    <row r="66" spans="2:5" x14ac:dyDescent="0.2">
      <c r="B66" s="45" t="e">
        <f ca="1">OFFSET(B$55,MATCH(2,$F$56:$F$61,0),0)</f>
        <v>#N/A</v>
      </c>
      <c r="C66" s="258" t="e">
        <f ca="1">OFFSET(C$55,MATCH(2,$F$56:$F$61,0),0)</f>
        <v>#N/A</v>
      </c>
      <c r="D66" s="258" t="e">
        <f ca="1">OFFSET(D$55,MATCH(2,$F$56:$F$61,0),0)</f>
        <v>#N/A</v>
      </c>
      <c r="E66" s="259" t="e">
        <f ca="1">OFFSET(E$55,MATCH(2,$F$56:$F$61,0),0)</f>
        <v>#N/A</v>
      </c>
    </row>
    <row r="67" spans="2:5" x14ac:dyDescent="0.2">
      <c r="B67" s="45" t="e">
        <f ca="1">OFFSET(B$55,MATCH(3,$F$56:$F$61,0),0)</f>
        <v>#N/A</v>
      </c>
      <c r="C67" s="258" t="e">
        <f ca="1">OFFSET(C$55,MATCH(3,$F$56:$F$61,0),0)</f>
        <v>#N/A</v>
      </c>
      <c r="D67" s="258" t="e">
        <f ca="1">OFFSET(D$55,MATCH(3,$F$56:$F$61,0),0)</f>
        <v>#N/A</v>
      </c>
      <c r="E67" s="259" t="e">
        <f ca="1">OFFSET(E$55,MATCH(3,$F$56:$F$61,0),0)</f>
        <v>#N/A</v>
      </c>
    </row>
    <row r="68" spans="2:5" x14ac:dyDescent="0.2">
      <c r="B68" s="45" t="e">
        <f ca="1">OFFSET(B$55,MATCH(4,$F$56:$F$61,0),0)</f>
        <v>#N/A</v>
      </c>
      <c r="C68" s="258" t="e">
        <f ca="1">OFFSET(C$55,MATCH(4,$F$56:$F$61,0),0)</f>
        <v>#N/A</v>
      </c>
      <c r="D68" s="258" t="e">
        <f ca="1">OFFSET(D$55,MATCH(4,$F$56:$F$61,0),0)</f>
        <v>#N/A</v>
      </c>
      <c r="E68" s="259" t="e">
        <f ca="1">OFFSET(E$55,MATCH(4,$F$56:$F$61,0),0)</f>
        <v>#N/A</v>
      </c>
    </row>
    <row r="69" spans="2:5" x14ac:dyDescent="0.2">
      <c r="B69" s="45" t="e">
        <f ca="1">OFFSET(B$55,MATCH(5,$F$56:$F$61,0),0)</f>
        <v>#N/A</v>
      </c>
      <c r="C69" s="258" t="e">
        <f ca="1">OFFSET(C$55,MATCH(5,$F$56:$F$61,0),0)</f>
        <v>#N/A</v>
      </c>
      <c r="D69" s="258" t="e">
        <f ca="1">OFFSET(D$55,MATCH(5,$F$56:$F$61,0),0)</f>
        <v>#N/A</v>
      </c>
      <c r="E69" s="259" t="e">
        <f ca="1">OFFSET(E$55,MATCH(5,$F$56:$F$61,0),0)</f>
        <v>#N/A</v>
      </c>
    </row>
    <row r="70" spans="2:5" ht="10.8" thickBot="1" x14ac:dyDescent="0.25">
      <c r="B70" s="68" t="e">
        <f ca="1">OFFSET(B$55,MATCH(6,$F$56:$F$61,0),0)</f>
        <v>#N/A</v>
      </c>
      <c r="C70" s="263" t="e">
        <f ca="1">OFFSET(C$55,MATCH(6,$F$56:$F$61,0),0)</f>
        <v>#N/A</v>
      </c>
      <c r="D70" s="263" t="e">
        <f ca="1">OFFSET(D$55,MATCH(6,$F$56:$F$61,0),0)</f>
        <v>#N/A</v>
      </c>
      <c r="E70" s="264" t="e">
        <f ca="1">OFFSET(E$55,MATCH(6,$F$56:$F$61,0),0)</f>
        <v>#N/A</v>
      </c>
    </row>
  </sheetData>
  <phoneticPr fontId="4" type="noConversion"/>
  <dataValidations count="2">
    <dataValidation type="decimal" operator="greaterThan" allowBlank="1" showInputMessage="1" showErrorMessage="1" prompt="Introducir un porcentaje." sqref="D7:D12">
      <formula1>0</formula1>
    </dataValidation>
    <dataValidation type="decimal" operator="greaterThanOrEqual" allowBlank="1" showInputMessage="1" showErrorMessage="1" prompt="Introducir un porcentaje." sqref="F7:F12">
      <formula1>0</formula1>
    </dataValidation>
  </dataValidations>
  <printOptions headings="1"/>
  <pageMargins left="1.45" right="0.35433070866141736" top="0.65" bottom="0.78" header="0.25" footer="0.51181102362204722"/>
  <pageSetup paperSize="9" orientation="landscape" horizontalDpi="300" verticalDpi="300" r:id="rId1"/>
  <headerFooter alignWithMargins="0">
    <oddHeader>&amp;A</oddHeader>
    <oddFooter>&amp;C&amp;F&amp;R&amp;D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77" r:id="rId4" name="Button 21">
              <controlPr defaultSize="0" print="0" autoFill="0" autoPict="0">
                <anchor moveWithCells="1" sizeWithCells="1">
                  <from>
                    <xdr:col>2</xdr:col>
                    <xdr:colOff>205740</xdr:colOff>
                    <xdr:row>19</xdr:row>
                    <xdr:rowOff>30480</xdr:rowOff>
                  </from>
                  <to>
                    <xdr:col>4</xdr:col>
                    <xdr:colOff>701040</xdr:colOff>
                    <xdr:row>20</xdr:row>
                    <xdr:rowOff>91440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>
    <pageSetUpPr autoPageBreaks="0"/>
  </sheetPr>
  <dimension ref="A1:J115"/>
  <sheetViews>
    <sheetView showGridLines="0" workbookViewId="0">
      <pane ySplit="4" topLeftCell="A5" activePane="bottomLeft" state="frozen"/>
      <selection pane="bottomLeft" activeCell="L42" sqref="L42"/>
    </sheetView>
  </sheetViews>
  <sheetFormatPr baseColWidth="10" defaultColWidth="11.44140625" defaultRowHeight="10.199999999999999" outlineLevelRow="1" x14ac:dyDescent="0.2"/>
  <cols>
    <col min="1" max="1" width="5.44140625" style="15" customWidth="1"/>
    <col min="2" max="2" width="31.6640625" style="15" customWidth="1"/>
    <col min="3" max="3" width="10.5546875" style="15" customWidth="1"/>
    <col min="4" max="10" width="9.5546875" style="15" customWidth="1"/>
    <col min="11" max="16384" width="11.44140625" style="15"/>
  </cols>
  <sheetData>
    <row r="1" spans="2:10" ht="10.8" thickBot="1" x14ac:dyDescent="0.25">
      <c r="B1" s="12"/>
    </row>
    <row r="2" spans="2:10" ht="10.8" thickBot="1" x14ac:dyDescent="0.25">
      <c r="B2" s="13"/>
      <c r="C2" s="341" t="str">
        <f>RIESGO!C6</f>
        <v>Escenario  Base</v>
      </c>
      <c r="D2" s="343"/>
      <c r="H2" s="20"/>
    </row>
    <row r="3" spans="2:10" x14ac:dyDescent="0.2">
      <c r="B3" s="74"/>
      <c r="C3" s="75"/>
      <c r="D3" s="75"/>
      <c r="E3" s="75"/>
      <c r="F3" s="75"/>
      <c r="G3" s="75"/>
      <c r="H3" s="75"/>
      <c r="I3" s="76"/>
    </row>
    <row r="4" spans="2:10" x14ac:dyDescent="0.2">
      <c r="B4" s="128" t="s">
        <v>0</v>
      </c>
      <c r="C4" s="124">
        <v>1</v>
      </c>
      <c r="D4" s="124">
        <f t="shared" ref="D4:I4" si="0">C4+1</f>
        <v>2</v>
      </c>
      <c r="E4" s="124">
        <f t="shared" si="0"/>
        <v>3</v>
      </c>
      <c r="F4" s="124">
        <f t="shared" si="0"/>
        <v>4</v>
      </c>
      <c r="G4" s="124">
        <f t="shared" si="0"/>
        <v>5</v>
      </c>
      <c r="H4" s="124">
        <f t="shared" si="0"/>
        <v>6</v>
      </c>
      <c r="I4" s="193">
        <f t="shared" si="0"/>
        <v>7</v>
      </c>
    </row>
    <row r="5" spans="2:10" x14ac:dyDescent="0.2">
      <c r="B5" s="67"/>
      <c r="C5" s="116"/>
      <c r="D5" s="116"/>
      <c r="E5" s="116"/>
      <c r="F5" s="116"/>
      <c r="G5" s="116"/>
      <c r="H5" s="116"/>
      <c r="I5" s="331"/>
    </row>
    <row r="6" spans="2:10" x14ac:dyDescent="0.2">
      <c r="B6" s="67" t="s">
        <v>138</v>
      </c>
      <c r="C6" s="115">
        <f>CTA.RES!C4</f>
        <v>0</v>
      </c>
      <c r="D6" s="115">
        <f>CTA.RES!D4</f>
        <v>0</v>
      </c>
      <c r="E6" s="115">
        <f>CTA.RES!E4</f>
        <v>0</v>
      </c>
      <c r="F6" s="115">
        <f>CTA.RES!F4</f>
        <v>0</v>
      </c>
      <c r="G6" s="115">
        <f>CTA.RES!G4</f>
        <v>0</v>
      </c>
      <c r="H6" s="115">
        <f>CTA.RES!H4</f>
        <v>0</v>
      </c>
      <c r="I6" s="279">
        <f>CTA.RES!I4</f>
        <v>0</v>
      </c>
    </row>
    <row r="7" spans="2:10" x14ac:dyDescent="0.2">
      <c r="B7" s="67" t="s">
        <v>140</v>
      </c>
      <c r="C7" s="115">
        <f>CTA.RES!C7</f>
        <v>0</v>
      </c>
      <c r="D7" s="115">
        <f>CTA.RES!D7</f>
        <v>0</v>
      </c>
      <c r="E7" s="115">
        <f>CTA.RES!E7</f>
        <v>0</v>
      </c>
      <c r="F7" s="115">
        <f>CTA.RES!F7</f>
        <v>0</v>
      </c>
      <c r="G7" s="115">
        <f>CTA.RES!G7</f>
        <v>0</v>
      </c>
      <c r="H7" s="115">
        <f>CTA.RES!H7</f>
        <v>0</v>
      </c>
      <c r="I7" s="279">
        <f>CTA.RES!I7</f>
        <v>0</v>
      </c>
    </row>
    <row r="8" spans="2:10" x14ac:dyDescent="0.2">
      <c r="B8" s="67" t="s">
        <v>201</v>
      </c>
      <c r="C8" s="115">
        <f t="shared" ref="C8:I8" si="1">C6-C7</f>
        <v>0</v>
      </c>
      <c r="D8" s="115">
        <f t="shared" si="1"/>
        <v>0</v>
      </c>
      <c r="E8" s="115">
        <f t="shared" si="1"/>
        <v>0</v>
      </c>
      <c r="F8" s="115">
        <f t="shared" si="1"/>
        <v>0</v>
      </c>
      <c r="G8" s="115">
        <f t="shared" si="1"/>
        <v>0</v>
      </c>
      <c r="H8" s="115">
        <f t="shared" si="1"/>
        <v>0</v>
      </c>
      <c r="I8" s="279">
        <f t="shared" si="1"/>
        <v>0</v>
      </c>
    </row>
    <row r="9" spans="2:10" x14ac:dyDescent="0.2">
      <c r="B9" s="67" t="s">
        <v>141</v>
      </c>
      <c r="C9" s="115">
        <f>CTA.RES!C8+CTA.RES!C9</f>
        <v>0</v>
      </c>
      <c r="D9" s="115">
        <f>CTA.RES!D8+CTA.RES!D9</f>
        <v>0</v>
      </c>
      <c r="E9" s="115">
        <f>CTA.RES!E8+CTA.RES!E9</f>
        <v>0</v>
      </c>
      <c r="F9" s="115">
        <f>CTA.RES!F8+CTA.RES!F9</f>
        <v>0</v>
      </c>
      <c r="G9" s="115">
        <f>CTA.RES!G8+CTA.RES!G9</f>
        <v>0</v>
      </c>
      <c r="H9" s="115">
        <f>CTA.RES!H8+CTA.RES!H9</f>
        <v>0</v>
      </c>
      <c r="I9" s="279">
        <f>CTA.RES!I8+CTA.RES!I9</f>
        <v>0</v>
      </c>
    </row>
    <row r="10" spans="2:10" x14ac:dyDescent="0.2">
      <c r="B10" s="67" t="s">
        <v>202</v>
      </c>
      <c r="C10" s="115">
        <f t="shared" ref="C10:I10" si="2">C9+C7</f>
        <v>0</v>
      </c>
      <c r="D10" s="115">
        <f t="shared" si="2"/>
        <v>0</v>
      </c>
      <c r="E10" s="115">
        <f t="shared" si="2"/>
        <v>0</v>
      </c>
      <c r="F10" s="115">
        <f t="shared" si="2"/>
        <v>0</v>
      </c>
      <c r="G10" s="115">
        <f t="shared" si="2"/>
        <v>0</v>
      </c>
      <c r="H10" s="115">
        <f t="shared" si="2"/>
        <v>0</v>
      </c>
      <c r="I10" s="279">
        <f t="shared" si="2"/>
        <v>0</v>
      </c>
    </row>
    <row r="11" spans="2:10" s="14" customFormat="1" x14ac:dyDescent="0.2">
      <c r="B11" s="61" t="s">
        <v>203</v>
      </c>
      <c r="C11" s="333" t="e">
        <f t="shared" ref="C11:I11" si="3">C9/C8</f>
        <v>#DIV/0!</v>
      </c>
      <c r="D11" s="333" t="e">
        <f t="shared" si="3"/>
        <v>#DIV/0!</v>
      </c>
      <c r="E11" s="333" t="e">
        <f t="shared" si="3"/>
        <v>#DIV/0!</v>
      </c>
      <c r="F11" s="333" t="e">
        <f t="shared" si="3"/>
        <v>#DIV/0!</v>
      </c>
      <c r="G11" s="333" t="e">
        <f t="shared" si="3"/>
        <v>#DIV/0!</v>
      </c>
      <c r="H11" s="333" t="e">
        <f t="shared" si="3"/>
        <v>#DIV/0!</v>
      </c>
      <c r="I11" s="334" t="e">
        <f t="shared" si="3"/>
        <v>#DIV/0!</v>
      </c>
      <c r="J11" s="15"/>
    </row>
    <row r="12" spans="2:10" x14ac:dyDescent="0.2">
      <c r="B12" s="332" t="s">
        <v>204</v>
      </c>
      <c r="C12" s="309" t="e">
        <f t="shared" ref="C12:I12" si="4">C11*C6</f>
        <v>#DIV/0!</v>
      </c>
      <c r="D12" s="309" t="e">
        <f t="shared" si="4"/>
        <v>#DIV/0!</v>
      </c>
      <c r="E12" s="309" t="e">
        <f t="shared" si="4"/>
        <v>#DIV/0!</v>
      </c>
      <c r="F12" s="309" t="e">
        <f t="shared" si="4"/>
        <v>#DIV/0!</v>
      </c>
      <c r="G12" s="309" t="e">
        <f t="shared" si="4"/>
        <v>#DIV/0!</v>
      </c>
      <c r="H12" s="309" t="e">
        <f t="shared" si="4"/>
        <v>#DIV/0!</v>
      </c>
      <c r="I12" s="310" t="e">
        <f t="shared" si="4"/>
        <v>#DIV/0!</v>
      </c>
    </row>
    <row r="13" spans="2:10" x14ac:dyDescent="0.2">
      <c r="B13" s="67"/>
      <c r="H13" s="30"/>
      <c r="I13" s="77"/>
    </row>
    <row r="14" spans="2:10" ht="13.2" x14ac:dyDescent="0.25">
      <c r="B14" s="67"/>
      <c r="C14" s="121"/>
      <c r="G14" s="214" t="s">
        <v>9</v>
      </c>
      <c r="H14" s="199">
        <v>1</v>
      </c>
      <c r="I14" s="77"/>
    </row>
    <row r="15" spans="2:10" x14ac:dyDescent="0.2">
      <c r="B15" s="67"/>
      <c r="H15" s="321" t="str">
        <f>"Análisis de equilibrio, año " &amp;H14</f>
        <v>Análisis de equilibrio, año 1</v>
      </c>
      <c r="I15" s="77"/>
    </row>
    <row r="16" spans="2:10" x14ac:dyDescent="0.2">
      <c r="B16" s="329">
        <v>1</v>
      </c>
      <c r="C16" s="330">
        <v>0.2</v>
      </c>
      <c r="D16" s="330">
        <v>0.4</v>
      </c>
      <c r="E16" s="330">
        <v>0.6</v>
      </c>
      <c r="F16" s="330">
        <v>0.8</v>
      </c>
      <c r="G16" s="330">
        <v>1</v>
      </c>
      <c r="H16" s="330">
        <v>1.2</v>
      </c>
      <c r="I16" s="335">
        <v>1.4</v>
      </c>
    </row>
    <row r="17" spans="1:9" x14ac:dyDescent="0.2">
      <c r="A17" s="66"/>
      <c r="B17" s="322">
        <f ca="1">OFFSET(B6,0,$H$14-$C$4+1)</f>
        <v>0</v>
      </c>
      <c r="C17" s="115">
        <f t="dataTable" ref="C17:I19" dt2D="0" dtr="1" r1="B16" ca="1"/>
        <v>0</v>
      </c>
      <c r="D17" s="115">
        <v>0</v>
      </c>
      <c r="E17" s="115">
        <v>0</v>
      </c>
      <c r="F17" s="115">
        <v>0</v>
      </c>
      <c r="G17" s="115">
        <v>0</v>
      </c>
      <c r="H17" s="115">
        <v>0</v>
      </c>
      <c r="I17" s="279">
        <v>0</v>
      </c>
    </row>
    <row r="18" spans="1:9" x14ac:dyDescent="0.2">
      <c r="A18" s="66"/>
      <c r="B18" s="323">
        <f ca="1">OFFSET(B9,0,$H$14-$C$4+1)</f>
        <v>0</v>
      </c>
      <c r="C18" s="115">
        <v>0</v>
      </c>
      <c r="D18" s="115">
        <v>0</v>
      </c>
      <c r="E18" s="115">
        <v>0</v>
      </c>
      <c r="F18" s="115">
        <v>0</v>
      </c>
      <c r="G18" s="115">
        <v>0</v>
      </c>
      <c r="H18" s="115">
        <v>0</v>
      </c>
      <c r="I18" s="279">
        <v>0</v>
      </c>
    </row>
    <row r="19" spans="1:9" x14ac:dyDescent="0.2">
      <c r="A19" s="66"/>
      <c r="B19" s="324">
        <f ca="1">OFFSET(B10,0,$H$14-$C$4+1)</f>
        <v>0</v>
      </c>
      <c r="C19" s="115">
        <v>0</v>
      </c>
      <c r="D19" s="115">
        <v>0</v>
      </c>
      <c r="E19" s="115">
        <v>0</v>
      </c>
      <c r="F19" s="115">
        <v>0</v>
      </c>
      <c r="G19" s="115">
        <v>0</v>
      </c>
      <c r="H19" s="115">
        <v>0</v>
      </c>
      <c r="I19" s="279">
        <v>0</v>
      </c>
    </row>
    <row r="20" spans="1:9" x14ac:dyDescent="0.2">
      <c r="B20" s="67"/>
      <c r="I20" s="77"/>
    </row>
    <row r="21" spans="1:9" x14ac:dyDescent="0.2">
      <c r="B21" s="67"/>
      <c r="I21" s="77"/>
    </row>
    <row r="22" spans="1:9" x14ac:dyDescent="0.2">
      <c r="B22" s="67"/>
      <c r="I22" s="77"/>
    </row>
    <row r="23" spans="1:9" x14ac:dyDescent="0.2">
      <c r="B23" s="67"/>
      <c r="I23" s="77"/>
    </row>
    <row r="24" spans="1:9" x14ac:dyDescent="0.2">
      <c r="B24" s="67"/>
      <c r="I24" s="77"/>
    </row>
    <row r="25" spans="1:9" x14ac:dyDescent="0.2">
      <c r="B25" s="67"/>
      <c r="I25" s="77"/>
    </row>
    <row r="26" spans="1:9" x14ac:dyDescent="0.2">
      <c r="B26" s="67"/>
      <c r="I26" s="77"/>
    </row>
    <row r="27" spans="1:9" x14ac:dyDescent="0.2">
      <c r="B27" s="67"/>
      <c r="I27" s="77"/>
    </row>
    <row r="28" spans="1:9" x14ac:dyDescent="0.2">
      <c r="B28" s="67"/>
      <c r="I28" s="77"/>
    </row>
    <row r="29" spans="1:9" x14ac:dyDescent="0.2">
      <c r="B29" s="67"/>
      <c r="I29" s="77"/>
    </row>
    <row r="30" spans="1:9" x14ac:dyDescent="0.2">
      <c r="B30" s="67"/>
      <c r="I30" s="77"/>
    </row>
    <row r="31" spans="1:9" x14ac:dyDescent="0.2">
      <c r="B31" s="67"/>
      <c r="I31" s="77"/>
    </row>
    <row r="32" spans="1:9" x14ac:dyDescent="0.2">
      <c r="B32" s="67"/>
      <c r="I32" s="77"/>
    </row>
    <row r="33" spans="2:9" x14ac:dyDescent="0.2">
      <c r="B33" s="67"/>
      <c r="I33" s="77"/>
    </row>
    <row r="34" spans="2:9" x14ac:dyDescent="0.2">
      <c r="B34" s="67"/>
      <c r="I34" s="77"/>
    </row>
    <row r="35" spans="2:9" x14ac:dyDescent="0.2">
      <c r="B35" s="67"/>
      <c r="I35" s="77"/>
    </row>
    <row r="36" spans="2:9" x14ac:dyDescent="0.2">
      <c r="B36" s="67"/>
      <c r="I36" s="77"/>
    </row>
    <row r="37" spans="2:9" ht="10.8" thickBot="1" x14ac:dyDescent="0.25">
      <c r="B37" s="78"/>
      <c r="C37" s="79"/>
      <c r="D37" s="79"/>
      <c r="E37" s="79"/>
      <c r="F37" s="79"/>
      <c r="G37" s="79"/>
      <c r="H37" s="79"/>
      <c r="I37" s="80"/>
    </row>
    <row r="39" spans="2:9" x14ac:dyDescent="0.2">
      <c r="B39" s="35" t="str">
        <f>INCO!B56</f>
        <v>Linea A</v>
      </c>
      <c r="C39" s="28"/>
      <c r="D39" s="29"/>
      <c r="E39" s="28"/>
      <c r="F39" s="28"/>
      <c r="G39" s="28"/>
      <c r="H39" s="28"/>
      <c r="I39" s="28"/>
    </row>
    <row r="40" spans="2:9" outlineLevel="1" x14ac:dyDescent="0.2">
      <c r="B40" s="15" t="s">
        <v>130</v>
      </c>
      <c r="C40" s="115">
        <f>INCO!D11</f>
        <v>0</v>
      </c>
      <c r="D40" s="115">
        <f>INCO!E11</f>
        <v>0</v>
      </c>
      <c r="E40" s="115">
        <f>INCO!F11</f>
        <v>0</v>
      </c>
      <c r="F40" s="115">
        <f>INCO!G11</f>
        <v>0</v>
      </c>
      <c r="G40" s="115">
        <f>INCO!H11</f>
        <v>0</v>
      </c>
      <c r="H40" s="115">
        <f>INCO!I11</f>
        <v>0</v>
      </c>
      <c r="I40" s="115">
        <f>INCO!J11</f>
        <v>0</v>
      </c>
    </row>
    <row r="41" spans="2:9" outlineLevel="1" x14ac:dyDescent="0.2">
      <c r="B41" s="15" t="s">
        <v>140</v>
      </c>
      <c r="C41" s="115">
        <f>INCO!D56</f>
        <v>0</v>
      </c>
      <c r="D41" s="115">
        <f>INCO!E56</f>
        <v>0</v>
      </c>
      <c r="E41" s="115">
        <f>INCO!F56</f>
        <v>0</v>
      </c>
      <c r="F41" s="115">
        <f>INCO!G56</f>
        <v>0</v>
      </c>
      <c r="G41" s="115">
        <f>INCO!H56</f>
        <v>0</v>
      </c>
      <c r="H41" s="115">
        <f>INCO!I56</f>
        <v>0</v>
      </c>
      <c r="I41" s="115">
        <f>INCO!J56</f>
        <v>0</v>
      </c>
    </row>
    <row r="42" spans="2:9" outlineLevel="1" x14ac:dyDescent="0.2">
      <c r="B42" s="15" t="s">
        <v>201</v>
      </c>
      <c r="C42" s="115">
        <f>C40-C41</f>
        <v>0</v>
      </c>
      <c r="D42" s="115">
        <f t="shared" ref="D42:I42" si="5">D40-D41</f>
        <v>0</v>
      </c>
      <c r="E42" s="115">
        <f t="shared" si="5"/>
        <v>0</v>
      </c>
      <c r="F42" s="115">
        <f t="shared" si="5"/>
        <v>0</v>
      </c>
      <c r="G42" s="115">
        <f t="shared" si="5"/>
        <v>0</v>
      </c>
      <c r="H42" s="115">
        <f t="shared" si="5"/>
        <v>0</v>
      </c>
      <c r="I42" s="115">
        <f t="shared" si="5"/>
        <v>0</v>
      </c>
    </row>
    <row r="43" spans="2:9" outlineLevel="1" x14ac:dyDescent="0.2">
      <c r="B43" s="15" t="s">
        <v>205</v>
      </c>
      <c r="C43" s="115" t="e">
        <f t="shared" ref="C43:I43" si="6">C9*(C40/C6)</f>
        <v>#DIV/0!</v>
      </c>
      <c r="D43" s="115" t="e">
        <f t="shared" si="6"/>
        <v>#DIV/0!</v>
      </c>
      <c r="E43" s="115" t="e">
        <f t="shared" si="6"/>
        <v>#DIV/0!</v>
      </c>
      <c r="F43" s="115" t="e">
        <f t="shared" si="6"/>
        <v>#DIV/0!</v>
      </c>
      <c r="G43" s="115" t="e">
        <f t="shared" si="6"/>
        <v>#DIV/0!</v>
      </c>
      <c r="H43" s="115" t="e">
        <f t="shared" si="6"/>
        <v>#DIV/0!</v>
      </c>
      <c r="I43" s="115" t="e">
        <f t="shared" si="6"/>
        <v>#DIV/0!</v>
      </c>
    </row>
    <row r="44" spans="2:9" outlineLevel="1" x14ac:dyDescent="0.2">
      <c r="B44" s="31" t="s">
        <v>203</v>
      </c>
      <c r="C44" s="327" t="str">
        <f>IFERROR(C43/C42,"n.d")</f>
        <v>n.d</v>
      </c>
      <c r="D44" s="327" t="str">
        <f t="shared" ref="D44:I44" si="7">IFERROR(D43/D42,"n.d")</f>
        <v>n.d</v>
      </c>
      <c r="E44" s="327" t="str">
        <f t="shared" si="7"/>
        <v>n.d</v>
      </c>
      <c r="F44" s="327" t="str">
        <f t="shared" si="7"/>
        <v>n.d</v>
      </c>
      <c r="G44" s="327" t="str">
        <f t="shared" si="7"/>
        <v>n.d</v>
      </c>
      <c r="H44" s="327" t="str">
        <f t="shared" si="7"/>
        <v>n.d</v>
      </c>
      <c r="I44" s="327" t="str">
        <f t="shared" si="7"/>
        <v>n.d</v>
      </c>
    </row>
    <row r="45" spans="2:9" outlineLevel="1" x14ac:dyDescent="0.2">
      <c r="B45" s="32" t="s">
        <v>204</v>
      </c>
      <c r="C45" s="309" t="str">
        <f>IFERROR(C44*C40,"n.d")</f>
        <v>n.d</v>
      </c>
      <c r="D45" s="309" t="str">
        <f t="shared" ref="D45:I45" si="8">IFERROR(D44*D40,"n.d")</f>
        <v>n.d</v>
      </c>
      <c r="E45" s="309" t="str">
        <f t="shared" si="8"/>
        <v>n.d</v>
      </c>
      <c r="F45" s="309" t="str">
        <f t="shared" si="8"/>
        <v>n.d</v>
      </c>
      <c r="G45" s="309" t="str">
        <f t="shared" si="8"/>
        <v>n.d</v>
      </c>
      <c r="H45" s="309" t="str">
        <f t="shared" si="8"/>
        <v>n.d</v>
      </c>
      <c r="I45" s="309" t="str">
        <f t="shared" si="8"/>
        <v>n.d</v>
      </c>
    </row>
    <row r="46" spans="2:9" x14ac:dyDescent="0.2">
      <c r="C46" s="115"/>
      <c r="D46" s="115"/>
      <c r="E46" s="115"/>
      <c r="F46" s="115"/>
      <c r="G46" s="115"/>
      <c r="H46" s="115"/>
      <c r="I46" s="115"/>
    </row>
    <row r="47" spans="2:9" x14ac:dyDescent="0.2">
      <c r="B47" s="35" t="str">
        <f>INCO!B60</f>
        <v>Linea B</v>
      </c>
      <c r="C47" s="108"/>
      <c r="D47" s="328"/>
      <c r="E47" s="108"/>
      <c r="F47" s="108"/>
      <c r="G47" s="108"/>
      <c r="H47" s="108"/>
      <c r="I47" s="108"/>
    </row>
    <row r="48" spans="2:9" outlineLevel="1" x14ac:dyDescent="0.2">
      <c r="B48" s="15" t="s">
        <v>130</v>
      </c>
      <c r="C48" s="115">
        <f>INCO!D17</f>
        <v>0</v>
      </c>
      <c r="D48" s="115">
        <f>INCO!E17</f>
        <v>0</v>
      </c>
      <c r="E48" s="115">
        <f>INCO!F17</f>
        <v>0</v>
      </c>
      <c r="F48" s="115">
        <f>INCO!G17</f>
        <v>0</v>
      </c>
      <c r="G48" s="115">
        <f>INCO!H17</f>
        <v>0</v>
      </c>
      <c r="H48" s="115">
        <f>INCO!I17</f>
        <v>0</v>
      </c>
      <c r="I48" s="115">
        <f>INCO!J17</f>
        <v>0</v>
      </c>
    </row>
    <row r="49" spans="2:9" outlineLevel="1" x14ac:dyDescent="0.2">
      <c r="B49" s="15" t="s">
        <v>140</v>
      </c>
      <c r="C49" s="115">
        <f>INCO!D60</f>
        <v>0</v>
      </c>
      <c r="D49" s="115">
        <f>INCO!E60</f>
        <v>0</v>
      </c>
      <c r="E49" s="115">
        <f>INCO!F60</f>
        <v>0</v>
      </c>
      <c r="F49" s="115">
        <f>INCO!G60</f>
        <v>0</v>
      </c>
      <c r="G49" s="115">
        <f>INCO!H60</f>
        <v>0</v>
      </c>
      <c r="H49" s="115">
        <f>INCO!I60</f>
        <v>0</v>
      </c>
      <c r="I49" s="115">
        <f>INCO!J60</f>
        <v>0</v>
      </c>
    </row>
    <row r="50" spans="2:9" outlineLevel="1" x14ac:dyDescent="0.2">
      <c r="B50" s="15" t="s">
        <v>201</v>
      </c>
      <c r="C50" s="115">
        <f>C48-C49</f>
        <v>0</v>
      </c>
      <c r="D50" s="115">
        <f t="shared" ref="D50:I50" si="9">D48-D49</f>
        <v>0</v>
      </c>
      <c r="E50" s="115">
        <f t="shared" si="9"/>
        <v>0</v>
      </c>
      <c r="F50" s="115">
        <f t="shared" si="9"/>
        <v>0</v>
      </c>
      <c r="G50" s="115">
        <f t="shared" si="9"/>
        <v>0</v>
      </c>
      <c r="H50" s="115">
        <f t="shared" si="9"/>
        <v>0</v>
      </c>
      <c r="I50" s="115">
        <f t="shared" si="9"/>
        <v>0</v>
      </c>
    </row>
    <row r="51" spans="2:9" outlineLevel="1" x14ac:dyDescent="0.2">
      <c r="B51" s="15" t="s">
        <v>205</v>
      </c>
      <c r="C51" s="115" t="e">
        <f t="shared" ref="C51:I51" si="10">C9*(C48/C6)</f>
        <v>#DIV/0!</v>
      </c>
      <c r="D51" s="115" t="e">
        <f t="shared" si="10"/>
        <v>#DIV/0!</v>
      </c>
      <c r="E51" s="115" t="e">
        <f t="shared" si="10"/>
        <v>#DIV/0!</v>
      </c>
      <c r="F51" s="115" t="e">
        <f t="shared" si="10"/>
        <v>#DIV/0!</v>
      </c>
      <c r="G51" s="115" t="e">
        <f t="shared" si="10"/>
        <v>#DIV/0!</v>
      </c>
      <c r="H51" s="115" t="e">
        <f t="shared" si="10"/>
        <v>#DIV/0!</v>
      </c>
      <c r="I51" s="115" t="e">
        <f t="shared" si="10"/>
        <v>#DIV/0!</v>
      </c>
    </row>
    <row r="52" spans="2:9" outlineLevel="1" x14ac:dyDescent="0.2">
      <c r="B52" s="31" t="s">
        <v>203</v>
      </c>
      <c r="C52" s="327" t="str">
        <f>IFERROR(C51/C50,"n.d")</f>
        <v>n.d</v>
      </c>
      <c r="D52" s="327" t="str">
        <f t="shared" ref="D52:I52" si="11">IFERROR(D51/D50,"n.d")</f>
        <v>n.d</v>
      </c>
      <c r="E52" s="327" t="str">
        <f t="shared" si="11"/>
        <v>n.d</v>
      </c>
      <c r="F52" s="327" t="str">
        <f t="shared" si="11"/>
        <v>n.d</v>
      </c>
      <c r="G52" s="327" t="str">
        <f t="shared" si="11"/>
        <v>n.d</v>
      </c>
      <c r="H52" s="327" t="str">
        <f t="shared" si="11"/>
        <v>n.d</v>
      </c>
      <c r="I52" s="327" t="str">
        <f t="shared" si="11"/>
        <v>n.d</v>
      </c>
    </row>
    <row r="53" spans="2:9" outlineLevel="1" x14ac:dyDescent="0.2">
      <c r="B53" s="32" t="s">
        <v>204</v>
      </c>
      <c r="C53" s="309" t="str">
        <f>IFERROR(C52*C48,"n.d")</f>
        <v>n.d</v>
      </c>
      <c r="D53" s="309" t="str">
        <f t="shared" ref="D53:I53" si="12">IFERROR(D52*D48,"n.d")</f>
        <v>n.d</v>
      </c>
      <c r="E53" s="309" t="str">
        <f t="shared" si="12"/>
        <v>n.d</v>
      </c>
      <c r="F53" s="309" t="str">
        <f t="shared" si="12"/>
        <v>n.d</v>
      </c>
      <c r="G53" s="309" t="str">
        <f t="shared" si="12"/>
        <v>n.d</v>
      </c>
      <c r="H53" s="309" t="str">
        <f t="shared" si="12"/>
        <v>n.d</v>
      </c>
      <c r="I53" s="309" t="str">
        <f t="shared" si="12"/>
        <v>n.d</v>
      </c>
    </row>
    <row r="54" spans="2:9" x14ac:dyDescent="0.2">
      <c r="C54" s="115"/>
      <c r="D54" s="115"/>
      <c r="E54" s="115"/>
      <c r="F54" s="115"/>
      <c r="G54" s="115"/>
      <c r="H54" s="115"/>
      <c r="I54" s="115"/>
    </row>
    <row r="55" spans="2:9" x14ac:dyDescent="0.2">
      <c r="B55" s="43" t="str">
        <f>INCO!B64</f>
        <v>Linea C</v>
      </c>
      <c r="C55" s="108"/>
      <c r="D55" s="328"/>
      <c r="E55" s="108"/>
      <c r="F55" s="108"/>
      <c r="G55" s="108"/>
      <c r="H55" s="108"/>
      <c r="I55" s="108"/>
    </row>
    <row r="56" spans="2:9" outlineLevel="1" x14ac:dyDescent="0.2">
      <c r="B56" s="15" t="s">
        <v>130</v>
      </c>
      <c r="C56" s="115">
        <f>INCO!D23</f>
        <v>0</v>
      </c>
      <c r="D56" s="115">
        <f>INCO!E23</f>
        <v>0</v>
      </c>
      <c r="E56" s="115">
        <f>INCO!F23</f>
        <v>0</v>
      </c>
      <c r="F56" s="115">
        <f>INCO!G23</f>
        <v>0</v>
      </c>
      <c r="G56" s="115">
        <f>INCO!H23</f>
        <v>0</v>
      </c>
      <c r="H56" s="115">
        <f>INCO!I23</f>
        <v>0</v>
      </c>
      <c r="I56" s="115">
        <f>INCO!J23</f>
        <v>0</v>
      </c>
    </row>
    <row r="57" spans="2:9" outlineLevel="1" x14ac:dyDescent="0.2">
      <c r="B57" s="15" t="s">
        <v>140</v>
      </c>
      <c r="C57" s="115">
        <f>INCO!D64</f>
        <v>0</v>
      </c>
      <c r="D57" s="115">
        <f>INCO!E64</f>
        <v>0</v>
      </c>
      <c r="E57" s="115">
        <f>INCO!F64</f>
        <v>0</v>
      </c>
      <c r="F57" s="115">
        <f>INCO!G64</f>
        <v>0</v>
      </c>
      <c r="G57" s="115">
        <f>INCO!H64</f>
        <v>0</v>
      </c>
      <c r="H57" s="115">
        <f>INCO!I64</f>
        <v>0</v>
      </c>
      <c r="I57" s="115">
        <f>INCO!J64</f>
        <v>0</v>
      </c>
    </row>
    <row r="58" spans="2:9" outlineLevel="1" x14ac:dyDescent="0.2">
      <c r="B58" s="15" t="s">
        <v>201</v>
      </c>
      <c r="C58" s="115">
        <f>C56-C57</f>
        <v>0</v>
      </c>
      <c r="D58" s="115">
        <f t="shared" ref="D58:I58" si="13">D56-D57</f>
        <v>0</v>
      </c>
      <c r="E58" s="115">
        <f t="shared" si="13"/>
        <v>0</v>
      </c>
      <c r="F58" s="115">
        <f t="shared" si="13"/>
        <v>0</v>
      </c>
      <c r="G58" s="115">
        <f t="shared" si="13"/>
        <v>0</v>
      </c>
      <c r="H58" s="115">
        <f t="shared" si="13"/>
        <v>0</v>
      </c>
      <c r="I58" s="115">
        <f t="shared" si="13"/>
        <v>0</v>
      </c>
    </row>
    <row r="59" spans="2:9" outlineLevel="1" x14ac:dyDescent="0.2">
      <c r="B59" s="15" t="s">
        <v>205</v>
      </c>
      <c r="C59" s="115" t="e">
        <f t="shared" ref="C59:I59" si="14">C9*(C56/C6)</f>
        <v>#DIV/0!</v>
      </c>
      <c r="D59" s="115" t="e">
        <f t="shared" si="14"/>
        <v>#DIV/0!</v>
      </c>
      <c r="E59" s="115" t="e">
        <f t="shared" si="14"/>
        <v>#DIV/0!</v>
      </c>
      <c r="F59" s="115" t="e">
        <f t="shared" si="14"/>
        <v>#DIV/0!</v>
      </c>
      <c r="G59" s="115" t="e">
        <f t="shared" si="14"/>
        <v>#DIV/0!</v>
      </c>
      <c r="H59" s="115" t="e">
        <f t="shared" si="14"/>
        <v>#DIV/0!</v>
      </c>
      <c r="I59" s="115" t="e">
        <f t="shared" si="14"/>
        <v>#DIV/0!</v>
      </c>
    </row>
    <row r="60" spans="2:9" outlineLevel="1" x14ac:dyDescent="0.2">
      <c r="B60" s="31" t="s">
        <v>203</v>
      </c>
      <c r="C60" s="327" t="str">
        <f>IFERROR(C59/C58,"n.d")</f>
        <v>n.d</v>
      </c>
      <c r="D60" s="327" t="str">
        <f t="shared" ref="D60:I60" si="15">IFERROR(D59/D58,"n.d")</f>
        <v>n.d</v>
      </c>
      <c r="E60" s="327" t="str">
        <f t="shared" si="15"/>
        <v>n.d</v>
      </c>
      <c r="F60" s="327" t="str">
        <f t="shared" si="15"/>
        <v>n.d</v>
      </c>
      <c r="G60" s="327" t="str">
        <f t="shared" si="15"/>
        <v>n.d</v>
      </c>
      <c r="H60" s="327" t="str">
        <f t="shared" si="15"/>
        <v>n.d</v>
      </c>
      <c r="I60" s="327" t="str">
        <f t="shared" si="15"/>
        <v>n.d</v>
      </c>
    </row>
    <row r="61" spans="2:9" outlineLevel="1" x14ac:dyDescent="0.2">
      <c r="B61" s="32" t="s">
        <v>204</v>
      </c>
      <c r="C61" s="309" t="str">
        <f>IFERROR(C60*C56,"n.d")</f>
        <v>n.d</v>
      </c>
      <c r="D61" s="309" t="str">
        <f t="shared" ref="D61:I61" si="16">IFERROR(D60*D56,"n.d")</f>
        <v>n.d</v>
      </c>
      <c r="E61" s="309" t="str">
        <f t="shared" si="16"/>
        <v>n.d</v>
      </c>
      <c r="F61" s="309" t="str">
        <f t="shared" si="16"/>
        <v>n.d</v>
      </c>
      <c r="G61" s="309" t="str">
        <f t="shared" si="16"/>
        <v>n.d</v>
      </c>
      <c r="H61" s="309" t="str">
        <f t="shared" si="16"/>
        <v>n.d</v>
      </c>
      <c r="I61" s="309" t="str">
        <f t="shared" si="16"/>
        <v>n.d</v>
      </c>
    </row>
    <row r="62" spans="2:9" x14ac:dyDescent="0.2">
      <c r="C62" s="115"/>
      <c r="D62" s="115"/>
      <c r="E62" s="115"/>
      <c r="F62" s="115"/>
      <c r="G62" s="115"/>
      <c r="H62" s="115"/>
      <c r="I62" s="115"/>
    </row>
    <row r="63" spans="2:9" x14ac:dyDescent="0.2">
      <c r="B63" s="35" t="str">
        <f>INCO!B68</f>
        <v>Linea D</v>
      </c>
      <c r="C63" s="108"/>
      <c r="D63" s="328"/>
      <c r="E63" s="108"/>
      <c r="F63" s="108"/>
      <c r="G63" s="108"/>
      <c r="H63" s="108"/>
      <c r="I63" s="108"/>
    </row>
    <row r="64" spans="2:9" outlineLevel="1" x14ac:dyDescent="0.2">
      <c r="B64" s="15" t="s">
        <v>130</v>
      </c>
      <c r="C64" s="115">
        <f>INCO!D29</f>
        <v>0</v>
      </c>
      <c r="D64" s="115">
        <f>INCO!E29</f>
        <v>0</v>
      </c>
      <c r="E64" s="115">
        <f>INCO!F29</f>
        <v>0</v>
      </c>
      <c r="F64" s="115">
        <f>INCO!G29</f>
        <v>0</v>
      </c>
      <c r="G64" s="115">
        <f>INCO!H29</f>
        <v>0</v>
      </c>
      <c r="H64" s="115">
        <f>INCO!I29</f>
        <v>0</v>
      </c>
      <c r="I64" s="115">
        <f>INCO!J29</f>
        <v>0</v>
      </c>
    </row>
    <row r="65" spans="2:9" outlineLevel="1" x14ac:dyDescent="0.2">
      <c r="B65" s="15" t="s">
        <v>140</v>
      </c>
      <c r="C65" s="115">
        <f>INCO!D68</f>
        <v>0</v>
      </c>
      <c r="D65" s="115">
        <f>INCO!E68</f>
        <v>0</v>
      </c>
      <c r="E65" s="115">
        <f>INCO!F68</f>
        <v>0</v>
      </c>
      <c r="F65" s="115">
        <f>INCO!G68</f>
        <v>0</v>
      </c>
      <c r="G65" s="115">
        <f>INCO!H68</f>
        <v>0</v>
      </c>
      <c r="H65" s="115">
        <f>INCO!I68</f>
        <v>0</v>
      </c>
      <c r="I65" s="115">
        <f>INCO!J68</f>
        <v>0</v>
      </c>
    </row>
    <row r="66" spans="2:9" outlineLevel="1" x14ac:dyDescent="0.2">
      <c r="B66" s="15" t="s">
        <v>201</v>
      </c>
      <c r="C66" s="115">
        <f>C64-C65</f>
        <v>0</v>
      </c>
      <c r="D66" s="115">
        <f t="shared" ref="D66:I66" si="17">D64-D65</f>
        <v>0</v>
      </c>
      <c r="E66" s="115">
        <f t="shared" si="17"/>
        <v>0</v>
      </c>
      <c r="F66" s="115">
        <f t="shared" si="17"/>
        <v>0</v>
      </c>
      <c r="G66" s="115">
        <f t="shared" si="17"/>
        <v>0</v>
      </c>
      <c r="H66" s="115">
        <f t="shared" si="17"/>
        <v>0</v>
      </c>
      <c r="I66" s="115">
        <f t="shared" si="17"/>
        <v>0</v>
      </c>
    </row>
    <row r="67" spans="2:9" outlineLevel="1" x14ac:dyDescent="0.2">
      <c r="B67" s="15" t="s">
        <v>205</v>
      </c>
      <c r="C67" s="115" t="e">
        <f t="shared" ref="C67:I67" si="18">C9*(C64/C6)</f>
        <v>#DIV/0!</v>
      </c>
      <c r="D67" s="115" t="e">
        <f t="shared" si="18"/>
        <v>#DIV/0!</v>
      </c>
      <c r="E67" s="115" t="e">
        <f t="shared" si="18"/>
        <v>#DIV/0!</v>
      </c>
      <c r="F67" s="115" t="e">
        <f t="shared" si="18"/>
        <v>#DIV/0!</v>
      </c>
      <c r="G67" s="115" t="e">
        <f t="shared" si="18"/>
        <v>#DIV/0!</v>
      </c>
      <c r="H67" s="115" t="e">
        <f t="shared" si="18"/>
        <v>#DIV/0!</v>
      </c>
      <c r="I67" s="115" t="e">
        <f t="shared" si="18"/>
        <v>#DIV/0!</v>
      </c>
    </row>
    <row r="68" spans="2:9" outlineLevel="1" x14ac:dyDescent="0.2">
      <c r="B68" s="31" t="s">
        <v>203</v>
      </c>
      <c r="C68" s="327" t="str">
        <f>IFERROR(C67/C66,"n.d")</f>
        <v>n.d</v>
      </c>
      <c r="D68" s="327" t="str">
        <f t="shared" ref="D68:I68" si="19">IFERROR(D67/D66,"n.d")</f>
        <v>n.d</v>
      </c>
      <c r="E68" s="327" t="str">
        <f t="shared" si="19"/>
        <v>n.d</v>
      </c>
      <c r="F68" s="327" t="str">
        <f t="shared" si="19"/>
        <v>n.d</v>
      </c>
      <c r="G68" s="327" t="str">
        <f t="shared" si="19"/>
        <v>n.d</v>
      </c>
      <c r="H68" s="327" t="str">
        <f t="shared" si="19"/>
        <v>n.d</v>
      </c>
      <c r="I68" s="327" t="str">
        <f t="shared" si="19"/>
        <v>n.d</v>
      </c>
    </row>
    <row r="69" spans="2:9" outlineLevel="1" x14ac:dyDescent="0.2">
      <c r="B69" s="32" t="s">
        <v>204</v>
      </c>
      <c r="C69" s="309" t="str">
        <f>IFERROR(C68*C64,"n.d")</f>
        <v>n.d</v>
      </c>
      <c r="D69" s="309" t="str">
        <f t="shared" ref="D69:I69" si="20">IFERROR(D68*D64,"n.d")</f>
        <v>n.d</v>
      </c>
      <c r="E69" s="309" t="str">
        <f t="shared" si="20"/>
        <v>n.d</v>
      </c>
      <c r="F69" s="309" t="str">
        <f t="shared" si="20"/>
        <v>n.d</v>
      </c>
      <c r="G69" s="309" t="str">
        <f t="shared" si="20"/>
        <v>n.d</v>
      </c>
      <c r="H69" s="309" t="str">
        <f t="shared" si="20"/>
        <v>n.d</v>
      </c>
      <c r="I69" s="309" t="str">
        <f t="shared" si="20"/>
        <v>n.d</v>
      </c>
    </row>
    <row r="70" spans="2:9" x14ac:dyDescent="0.2">
      <c r="C70" s="116"/>
      <c r="D70" s="116"/>
      <c r="E70" s="116"/>
      <c r="F70" s="116"/>
      <c r="G70" s="116"/>
      <c r="H70" s="116"/>
      <c r="I70" s="116"/>
    </row>
    <row r="71" spans="2:9" x14ac:dyDescent="0.2">
      <c r="B71" s="35" t="str">
        <f>INCO!B34</f>
        <v>Linea E</v>
      </c>
      <c r="C71" s="108"/>
      <c r="D71" s="328"/>
      <c r="E71" s="108"/>
      <c r="F71" s="108"/>
      <c r="G71" s="108"/>
      <c r="H71" s="108"/>
      <c r="I71" s="108"/>
    </row>
    <row r="72" spans="2:9" outlineLevel="1" x14ac:dyDescent="0.2">
      <c r="B72" s="15" t="s">
        <v>130</v>
      </c>
      <c r="C72" s="115">
        <f>INCO!D35</f>
        <v>0</v>
      </c>
      <c r="D72" s="115">
        <f>INCO!E35</f>
        <v>0</v>
      </c>
      <c r="E72" s="115">
        <f>INCO!F35</f>
        <v>0</v>
      </c>
      <c r="F72" s="115">
        <f>INCO!G35</f>
        <v>0</v>
      </c>
      <c r="G72" s="115">
        <f>INCO!H35</f>
        <v>0</v>
      </c>
      <c r="H72" s="115">
        <f>INCO!I35</f>
        <v>0</v>
      </c>
      <c r="I72" s="115">
        <f>INCO!J35</f>
        <v>0</v>
      </c>
    </row>
    <row r="73" spans="2:9" outlineLevel="1" x14ac:dyDescent="0.2">
      <c r="B73" s="15" t="s">
        <v>140</v>
      </c>
      <c r="C73" s="115">
        <f>INCO!D72</f>
        <v>0</v>
      </c>
      <c r="D73" s="115">
        <f>INCO!E72</f>
        <v>0</v>
      </c>
      <c r="E73" s="115">
        <f>INCO!F72</f>
        <v>0</v>
      </c>
      <c r="F73" s="115">
        <f>INCO!G72</f>
        <v>0</v>
      </c>
      <c r="G73" s="115">
        <f>INCO!H72</f>
        <v>0</v>
      </c>
      <c r="H73" s="115">
        <f>INCO!I72</f>
        <v>0</v>
      </c>
      <c r="I73" s="115">
        <f>INCO!J72</f>
        <v>0</v>
      </c>
    </row>
    <row r="74" spans="2:9" outlineLevel="1" x14ac:dyDescent="0.2">
      <c r="B74" s="15" t="s">
        <v>201</v>
      </c>
      <c r="C74" s="115">
        <f>C72-C73</f>
        <v>0</v>
      </c>
      <c r="D74" s="115">
        <f t="shared" ref="D74:I74" si="21">D72-D73</f>
        <v>0</v>
      </c>
      <c r="E74" s="115">
        <f t="shared" si="21"/>
        <v>0</v>
      </c>
      <c r="F74" s="115">
        <f t="shared" si="21"/>
        <v>0</v>
      </c>
      <c r="G74" s="115">
        <f t="shared" si="21"/>
        <v>0</v>
      </c>
      <c r="H74" s="115">
        <f t="shared" si="21"/>
        <v>0</v>
      </c>
      <c r="I74" s="115">
        <f t="shared" si="21"/>
        <v>0</v>
      </c>
    </row>
    <row r="75" spans="2:9" outlineLevel="1" x14ac:dyDescent="0.2">
      <c r="B75" s="15" t="s">
        <v>205</v>
      </c>
      <c r="C75" s="115" t="e">
        <f t="shared" ref="C75:I75" si="22">C9*(C72/C6)</f>
        <v>#DIV/0!</v>
      </c>
      <c r="D75" s="115" t="e">
        <f t="shared" si="22"/>
        <v>#DIV/0!</v>
      </c>
      <c r="E75" s="115" t="e">
        <f t="shared" si="22"/>
        <v>#DIV/0!</v>
      </c>
      <c r="F75" s="115" t="e">
        <f t="shared" si="22"/>
        <v>#DIV/0!</v>
      </c>
      <c r="G75" s="115" t="e">
        <f t="shared" si="22"/>
        <v>#DIV/0!</v>
      </c>
      <c r="H75" s="115" t="e">
        <f t="shared" si="22"/>
        <v>#DIV/0!</v>
      </c>
      <c r="I75" s="115" t="e">
        <f t="shared" si="22"/>
        <v>#DIV/0!</v>
      </c>
    </row>
    <row r="76" spans="2:9" outlineLevel="1" x14ac:dyDescent="0.2">
      <c r="B76" s="31" t="s">
        <v>203</v>
      </c>
      <c r="C76" s="327" t="str">
        <f>IFERROR(C75/C74,"n.d")</f>
        <v>n.d</v>
      </c>
      <c r="D76" s="327" t="str">
        <f t="shared" ref="D76:I76" si="23">IFERROR(D75/D74,"n.d")</f>
        <v>n.d</v>
      </c>
      <c r="E76" s="327" t="str">
        <f t="shared" si="23"/>
        <v>n.d</v>
      </c>
      <c r="F76" s="327" t="str">
        <f t="shared" si="23"/>
        <v>n.d</v>
      </c>
      <c r="G76" s="327" t="str">
        <f t="shared" si="23"/>
        <v>n.d</v>
      </c>
      <c r="H76" s="327" t="str">
        <f t="shared" si="23"/>
        <v>n.d</v>
      </c>
      <c r="I76" s="327" t="str">
        <f t="shared" si="23"/>
        <v>n.d</v>
      </c>
    </row>
    <row r="77" spans="2:9" outlineLevel="1" x14ac:dyDescent="0.2">
      <c r="B77" s="32" t="s">
        <v>204</v>
      </c>
      <c r="C77" s="309" t="str">
        <f>IFERROR(C76*C72,"n.d")</f>
        <v>n.d</v>
      </c>
      <c r="D77" s="309" t="str">
        <f t="shared" ref="D77:I77" si="24">IFERROR(D76*D72,"n.d")</f>
        <v>n.d</v>
      </c>
      <c r="E77" s="309" t="str">
        <f t="shared" si="24"/>
        <v>n.d</v>
      </c>
      <c r="F77" s="309" t="str">
        <f t="shared" si="24"/>
        <v>n.d</v>
      </c>
      <c r="G77" s="309" t="str">
        <f t="shared" si="24"/>
        <v>n.d</v>
      </c>
      <c r="H77" s="309" t="str">
        <f t="shared" si="24"/>
        <v>n.d</v>
      </c>
      <c r="I77" s="309" t="str">
        <f t="shared" si="24"/>
        <v>n.d</v>
      </c>
    </row>
    <row r="85" spans="2:10" x14ac:dyDescent="0.2">
      <c r="D85" s="30"/>
      <c r="E85" s="30"/>
      <c r="F85" s="30"/>
      <c r="G85" s="30"/>
      <c r="H85" s="30"/>
      <c r="I85" s="30"/>
      <c r="J85" s="30"/>
    </row>
    <row r="86" spans="2:10" x14ac:dyDescent="0.2">
      <c r="B86" s="30"/>
      <c r="C86" s="30"/>
      <c r="D86" s="30"/>
      <c r="E86" s="30"/>
      <c r="F86" s="30"/>
      <c r="G86" s="30"/>
      <c r="H86" s="30"/>
      <c r="I86" s="30"/>
      <c r="J86" s="30"/>
    </row>
    <row r="87" spans="2:10" x14ac:dyDescent="0.2">
      <c r="D87" s="30"/>
      <c r="E87" s="30"/>
      <c r="F87" s="30"/>
      <c r="G87" s="30"/>
      <c r="H87" s="30"/>
      <c r="I87" s="30"/>
      <c r="J87" s="30"/>
    </row>
    <row r="112" spans="2:3" x14ac:dyDescent="0.2">
      <c r="B112" s="81"/>
      <c r="C112" s="81"/>
    </row>
    <row r="113" spans="4:10" x14ac:dyDescent="0.2">
      <c r="D113" s="30"/>
      <c r="E113" s="30"/>
      <c r="F113" s="30"/>
      <c r="G113" s="30"/>
      <c r="H113" s="30"/>
      <c r="I113" s="30"/>
      <c r="J113" s="30"/>
    </row>
    <row r="114" spans="4:10" x14ac:dyDescent="0.2">
      <c r="D114" s="30"/>
      <c r="E114" s="30"/>
      <c r="F114" s="30"/>
      <c r="G114" s="30"/>
      <c r="H114" s="30"/>
      <c r="I114" s="30"/>
      <c r="J114" s="30"/>
    </row>
    <row r="115" spans="4:10" x14ac:dyDescent="0.2">
      <c r="D115" s="30"/>
      <c r="E115" s="30"/>
      <c r="F115" s="30"/>
      <c r="G115" s="30"/>
      <c r="H115" s="30"/>
      <c r="I115" s="30"/>
      <c r="J115" s="30"/>
    </row>
  </sheetData>
  <customSheetViews>
    <customSheetView guid="{D4D7EB23-CC17-11D2-866F-0020AFB54048}" showRuler="0">
      <selection activeCell="E14" sqref="E14"/>
      <pageMargins left="0.25" right="0.25" top="2.54" bottom="1" header="0.511811024" footer="0.511811024"/>
      <printOptions headings="1"/>
      <pageSetup paperSize="9" orientation="landscape" horizontalDpi="300" verticalDpi="300" r:id="rId1"/>
      <headerFooter alignWithMargins="0">
        <oddHeader>&amp;A</oddHeader>
        <oddFooter>&amp;LMODELEVA&amp;CDEPTO. ECONOMIA FINANCIERA&amp;RUNIVERSIDAD DE SANTIAGO</oddFooter>
      </headerFooter>
    </customSheetView>
    <customSheetView guid="{D4D7EB24-CC17-11D2-866F-0020AFB54048}" showRuler="0">
      <selection activeCell="E14" sqref="E14"/>
      <pageMargins left="0.25" right="0.25" top="2.54" bottom="1" header="0.511811024" footer="0.511811024"/>
      <printOptions headings="1"/>
      <pageSetup paperSize="9" orientation="landscape" horizontalDpi="300" verticalDpi="300" r:id="rId2"/>
      <headerFooter alignWithMargins="0">
        <oddHeader>&amp;A</oddHeader>
        <oddFooter>&amp;LMODELEVA&amp;CDEPTO. ECONOMIA FINANCIERA&amp;RUNIVERSIDAD DE SANTIAGO</oddFooter>
      </headerFooter>
    </customSheetView>
  </customSheetViews>
  <phoneticPr fontId="4" type="noConversion"/>
  <dataValidations count="1">
    <dataValidation type="list" allowBlank="1" showInputMessage="1" showErrorMessage="1" sqref="H14">
      <formula1>"1,2,3,4,5,6,7"</formula1>
    </dataValidation>
  </dataValidations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63" r:id="rId6" name="Button 19">
              <controlPr defaultSize="0" print="0" autoFill="0" autoPict="0">
                <anchor moveWithCells="1" sizeWithCells="1">
                  <from>
                    <xdr:col>1</xdr:col>
                    <xdr:colOff>2148840</xdr:colOff>
                    <xdr:row>12</xdr:row>
                    <xdr:rowOff>114300</xdr:rowOff>
                  </from>
                  <to>
                    <xdr:col>4</xdr:col>
                    <xdr:colOff>449580</xdr:colOff>
                    <xdr:row>14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9</vt:i4>
      </vt:variant>
    </vt:vector>
  </HeadingPairs>
  <TitlesOfParts>
    <vt:vector size="18" baseType="lpstr">
      <vt:lpstr>INPUTS</vt:lpstr>
      <vt:lpstr>INVERSIONES</vt:lpstr>
      <vt:lpstr>INCO</vt:lpstr>
      <vt:lpstr>CTA.RES</vt:lpstr>
      <vt:lpstr>BALANCE</vt:lpstr>
      <vt:lpstr>TESORERIA</vt:lpstr>
      <vt:lpstr>RENTABILIDAD</vt:lpstr>
      <vt:lpstr>RIESGO</vt:lpstr>
      <vt:lpstr>EQUILIBRIO</vt:lpstr>
      <vt:lpstr>BALANCE!Área_de_impresión</vt:lpstr>
      <vt:lpstr>CTA.RES!Área_de_impresión</vt:lpstr>
      <vt:lpstr>EQUILIBRIO!Área_de_impresión</vt:lpstr>
      <vt:lpstr>INCO!Área_de_impresión</vt:lpstr>
      <vt:lpstr>INPUTS!Área_de_impresión</vt:lpstr>
      <vt:lpstr>INVERSIONES!Área_de_impresión</vt:lpstr>
      <vt:lpstr>RENTABILIDAD!Área_de_impresión</vt:lpstr>
      <vt:lpstr>RIESGO!Área_de_impresión</vt:lpstr>
      <vt:lpstr>TESORERIA!Área_de_impresión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E.F</dc:creator>
  <cp:lastModifiedBy>Alfonso Rodríguez Sandias</cp:lastModifiedBy>
  <cp:lastPrinted>2009-04-03T09:43:47Z</cp:lastPrinted>
  <dcterms:created xsi:type="dcterms:W3CDTF">1996-12-11T11:49:25Z</dcterms:created>
  <dcterms:modified xsi:type="dcterms:W3CDTF">2013-04-26T10:32:30Z</dcterms:modified>
</cp:coreProperties>
</file>